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xr:revisionPtr revIDLastSave="31" documentId="8_{ED4D8442-2F95-4BAC-8886-EB06F0A6052F}" xr6:coauthVersionLast="47" xr6:coauthVersionMax="47" xr10:uidLastSave="{8D94EBD6-0A02-4668-A7FF-28BEBF9F121E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3" r:id="rId53"/>
    <sheet name="308" sheetId="27" r:id="rId54"/>
    <sheet name="311" sheetId="65" r:id="rId55"/>
    <sheet name="324" sheetId="73" r:id="rId56"/>
    <sheet name="331" sheetId="30" r:id="rId57"/>
    <sheet name="315" sheetId="68" r:id="rId58"/>
    <sheet name="326" sheetId="75" r:id="rId59"/>
    <sheet name="332" sheetId="33" r:id="rId60"/>
    <sheet name="316" sheetId="69" r:id="rId61"/>
    <sheet name="Div 6" sheetId="51" r:id="rId62"/>
    <sheet name="317" sheetId="70" r:id="rId63"/>
    <sheet name="320" sheetId="71" r:id="rId64"/>
    <sheet name="310" sheetId="21" r:id="rId65"/>
    <sheet name="309" sheetId="64" r:id="rId66"/>
    <sheet name="313" sheetId="66" r:id="rId67"/>
    <sheet name="321" sheetId="72" r:id="rId68"/>
    <sheet name="325" sheetId="74" r:id="rId69"/>
    <sheet name="327" sheetId="76" r:id="rId70"/>
    <sheet name="Div 4" sheetId="36" r:id="rId71"/>
    <sheet name="310 &amp; 491" sheetId="39" r:id="rId72"/>
    <sheet name="491" sheetId="42" r:id="rId73"/>
    <sheet name="405" sheetId="77" r:id="rId74"/>
    <sheet name="411" sheetId="78" r:id="rId75"/>
    <sheet name="412" sheetId="79" r:id="rId76"/>
    <sheet name="413" sheetId="80" r:id="rId77"/>
    <sheet name="415" sheetId="81" r:id="rId78"/>
    <sheet name="418" sheetId="82" r:id="rId79"/>
    <sheet name="423" sheetId="83" r:id="rId80"/>
    <sheet name="424" sheetId="84" r:id="rId81"/>
    <sheet name="425" sheetId="85" r:id="rId82"/>
    <sheet name="455" sheetId="90" r:id="rId83"/>
    <sheet name="492" sheetId="45" r:id="rId84"/>
    <sheet name="430" sheetId="86" r:id="rId85"/>
    <sheet name="433" sheetId="87" r:id="rId86"/>
    <sheet name="444" sheetId="88" r:id="rId87"/>
    <sheet name="450" sheetId="89" r:id="rId88"/>
    <sheet name="Div 5" sheetId="48" r:id="rId89"/>
    <sheet name="501" sheetId="91" r:id="rId90"/>
    <sheet name="Dept" sheetId="92" state="hidden" r:id="rId91"/>
    <sheet name="OSR_Dept_Y0WUKY" sheetId="93" state="hidden" r:id="rId92"/>
    <sheet name="OSR_Summary (...56e5d78f_5JEYZH" sheetId="94" state="hidden" r:id="rId93"/>
  </sheets>
  <definedNames>
    <definedName name="OSRRefD13x_0" localSheetId="48">'300'!$D$13:$D$18</definedName>
    <definedName name="OSRRefD13x_0" localSheetId="49">'300 &amp; 317'!$D$13:$D$18</definedName>
    <definedName name="OSRRefD13x_0" localSheetId="52">'307'!$D$13:$D$15</definedName>
    <definedName name="OSRRefD13x_0" localSheetId="53">'308'!$D$13:$D$16</definedName>
    <definedName name="OSRRefD13x_0" localSheetId="64">'310'!$D$13:$D$15</definedName>
    <definedName name="OSRRefD13x_0" localSheetId="71">'310 &amp; 491'!$D$13:$D$17</definedName>
    <definedName name="OSRRefD13x_0" localSheetId="54">'311'!$D$13:$D$16</definedName>
    <definedName name="OSRRefD13x_0" localSheetId="57">'315'!$D$13:$D$16</definedName>
    <definedName name="OSRRefD13x_0" localSheetId="60">'316'!$D$13:$D$17</definedName>
    <definedName name="OSRRefD13x_0" localSheetId="62">'317'!$D$13:$D$16</definedName>
    <definedName name="OSRRefD13x_0" localSheetId="67">'321'!$D$13:$D$14</definedName>
    <definedName name="OSRRefD13x_0" localSheetId="55">'324'!$D$13:$D$14</definedName>
    <definedName name="OSRRefD13x_0" localSheetId="68">'325'!$D$13:$D$14</definedName>
    <definedName name="OSRRefD13x_0" localSheetId="58">'326'!$D$13:$D$15</definedName>
    <definedName name="OSRRefD13x_0" localSheetId="69">'327'!$D$13:$D$14</definedName>
    <definedName name="OSRRefD13x_0" localSheetId="51">'330'!$D$13:$D$15</definedName>
    <definedName name="OSRRefD13x_0" localSheetId="56">'331'!$D$13:$D$16</definedName>
    <definedName name="OSRRefD13x_0" localSheetId="59">'332'!$D$13:$D$17</definedName>
    <definedName name="OSRRefD13x_0" localSheetId="73">'405'!$D$13:$D$16</definedName>
    <definedName name="OSRRefD13x_0" localSheetId="77">'415'!$D$13:$D$16</definedName>
    <definedName name="OSRRefD13x_0" localSheetId="78">'418'!$D$13:$D$14</definedName>
    <definedName name="OSRRefD13x_0" localSheetId="85">'433'!$D$13:$D$16</definedName>
    <definedName name="OSRRefD13x_0" localSheetId="86">'444'!$D$13:$D$16</definedName>
    <definedName name="OSRRefD13x_0" localSheetId="87">'450'!$D$13:$D$15</definedName>
    <definedName name="OSRRefD13x_0" localSheetId="72">'491'!$D$13:$D$16</definedName>
    <definedName name="OSRRefD13x_0" localSheetId="83">'492'!$D$13:$D$16</definedName>
    <definedName name="OSRRefD13x_0" localSheetId="89">'501'!$D$13</definedName>
    <definedName name="OSRRefD13x_0" localSheetId="47">'Div 3'!$D$13:$D$19</definedName>
    <definedName name="OSRRefD13x_0" localSheetId="70">'Div 4'!$D$13:$D$18</definedName>
    <definedName name="OSRRefD13x_0" localSheetId="88">'Div 5'!$D$13</definedName>
    <definedName name="OSRRefD13x_0" localSheetId="61">'Div 6'!$D$13:$D$16</definedName>
    <definedName name="OSRRefD13x_0" localSheetId="2">Summary!$D$13:$D$22</definedName>
    <definedName name="OSRRefD16x_0" localSheetId="48">'300'!$D$21:$D$47</definedName>
    <definedName name="OSRRefD16x_0" localSheetId="49">'300 &amp; 317'!$D$21:$D$53</definedName>
    <definedName name="OSRRefD16x_0" localSheetId="52">'307'!$D$18:$D$27</definedName>
    <definedName name="OSRRefD16x_0" localSheetId="53">'308'!$D$19:$D$28</definedName>
    <definedName name="OSRRefD16x_0" localSheetId="64">'310'!$D$18:$D$20</definedName>
    <definedName name="OSRRefD16x_0" localSheetId="71">'310 &amp; 491'!$D$20:$D$22</definedName>
    <definedName name="OSRRefD16x_0" localSheetId="54">'311'!$D$19:$D$28</definedName>
    <definedName name="OSRRefD16x_0" localSheetId="57">'315'!$D$19:$D$37</definedName>
    <definedName name="OSRRefD16x_0" localSheetId="60">'316'!$D$20</definedName>
    <definedName name="OSRRefD16x_0" localSheetId="62">'317'!$D$19:$D$28</definedName>
    <definedName name="OSRRefD16x_0" localSheetId="67">'321'!$D$17</definedName>
    <definedName name="OSRRefD16x_0" localSheetId="55">'324'!$D$17</definedName>
    <definedName name="OSRRefD16x_0" localSheetId="68">'325'!$D$17:$D$19</definedName>
    <definedName name="OSRRefD16x_0" localSheetId="58">'326'!$D$18:$D$19</definedName>
    <definedName name="OSRRefD16x_0" localSheetId="69">'327'!$D$17:$D$18</definedName>
    <definedName name="OSRRefD16x_0" localSheetId="51">'330'!$D$18:$D$27</definedName>
    <definedName name="OSRRefD16x_0" localSheetId="56">'331'!$D$19:$D$37</definedName>
    <definedName name="OSRRefD16x_0" localSheetId="59">'332'!$D$20</definedName>
    <definedName name="OSRRefD16x_0" localSheetId="73">'405'!$D$19:$D$21</definedName>
    <definedName name="OSRRefD16x_0" localSheetId="77">'415'!$D$19:$D$21</definedName>
    <definedName name="OSRRefD16x_0" localSheetId="78">'418'!$D$17:$D$18</definedName>
    <definedName name="OSRRefD16x_0" localSheetId="81">'425'!$D$15</definedName>
    <definedName name="OSRRefD16x_0" localSheetId="85">'433'!$D$19:$D$21</definedName>
    <definedName name="OSRRefD16x_0" localSheetId="86">'444'!$D$19:$D$21</definedName>
    <definedName name="OSRRefD16x_0" localSheetId="87">'450'!$D$18:$D$20</definedName>
    <definedName name="OSRRefD16x_0" localSheetId="72">'491'!$D$19:$D$21</definedName>
    <definedName name="OSRRefD16x_0" localSheetId="83">'492'!$D$19:$D$21</definedName>
    <definedName name="OSRRefD16x_0" localSheetId="47">'Div 3'!$D$22:$D$50</definedName>
    <definedName name="OSRRefD16x_0" localSheetId="70">'Div 4'!$D$21:$D$23</definedName>
    <definedName name="OSRRefD16x_0" localSheetId="61">'Div 6'!$D$19:$D$28</definedName>
    <definedName name="OSRRefD16x_0" localSheetId="2">Summary!$D$25:$D$59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'204'!$D$20:$D$28</definedName>
    <definedName name="OSRRefD22_0x_0" localSheetId="45">'205'!$D$20:$D$28</definedName>
    <definedName name="OSRRefD22_0x_0" localSheetId="46">'206'!$D$20:$D$28</definedName>
    <definedName name="OSRRefD22_0x_0" localSheetId="48">'300'!$D$53:$D$62</definedName>
    <definedName name="OSRRefD22_0x_0" localSheetId="49">'300 &amp; 317'!$D$59:$D$68</definedName>
    <definedName name="OSRRefD22_0x_0" localSheetId="50">'301'!$D$20:$D$29</definedName>
    <definedName name="OSRRefD22_0x_0" localSheetId="52">'307'!$D$33:$D$40</definedName>
    <definedName name="OSRRefD22_0x_0" localSheetId="53">'308'!$D$34:$D$43</definedName>
    <definedName name="OSRRefD22_0x_0" localSheetId="65">'309'!$D$20</definedName>
    <definedName name="OSRRefD22_0x_0" localSheetId="64">'310'!$D$26:$D$34</definedName>
    <definedName name="OSRRefD22_0x_0" localSheetId="71">'310 &amp; 491'!$D$28:$D$36</definedName>
    <definedName name="OSRRefD22_0x_0" localSheetId="54">'311'!$D$34:$D$43</definedName>
    <definedName name="OSRRefD22_0x_0" localSheetId="66">'313'!$D$20</definedName>
    <definedName name="OSRRefD22_0x_0" localSheetId="57">'315'!$D$43:$D$51</definedName>
    <definedName name="OSRRefD22_0x_0" localSheetId="60">'316'!$D$26:$D$34</definedName>
    <definedName name="OSRRefD22_0x_0" localSheetId="62">'317'!$D$34:$D$43</definedName>
    <definedName name="OSRRefD22_0x_0" localSheetId="67">'321'!$D$23:$D$31</definedName>
    <definedName name="OSRRefD22_0x_0" localSheetId="68">'325'!$D$25:$D$32</definedName>
    <definedName name="OSRRefD22_0x_0" localSheetId="58">'326'!$D$25:$D$33</definedName>
    <definedName name="OSRRefD22_0x_0" localSheetId="69">'327'!$D$24</definedName>
    <definedName name="OSRRefD22_0x_0" localSheetId="51">'330'!$D$33:$D$40</definedName>
    <definedName name="OSRRefD22_0x_0" localSheetId="56">'331'!$D$43:$D$51</definedName>
    <definedName name="OSRRefD22_0x_0" localSheetId="59">'332'!$D$26:$D$34</definedName>
    <definedName name="OSRRefD22_0x_0" localSheetId="73">'405'!$D$27:$D$35</definedName>
    <definedName name="OSRRefD22_0x_0" localSheetId="74">'411'!$D$20:$D$28</definedName>
    <definedName name="OSRRefD22_0x_0" localSheetId="75">'412'!$D$20</definedName>
    <definedName name="OSRRefD22_0x_0" localSheetId="76">'413'!$D$20</definedName>
    <definedName name="OSRRefD22_0x_0" localSheetId="77">'415'!$D$27:$D$35</definedName>
    <definedName name="OSRRefD22_0x_0" localSheetId="78">'418'!$D$24:$D$32</definedName>
    <definedName name="OSRRefD22_0x_0" localSheetId="79">'423'!$D$20:$D$27</definedName>
    <definedName name="OSRRefD22_0x_0" localSheetId="80">'424'!$D$20</definedName>
    <definedName name="OSRRefD22_0x_0" localSheetId="81">'425'!$D$21</definedName>
    <definedName name="OSRRefD22_0x_0" localSheetId="84">'430'!$D$20:$D$28</definedName>
    <definedName name="OSRRefD22_0x_0" localSheetId="85">'433'!$D$27:$D$36</definedName>
    <definedName name="OSRRefD22_0x_0" localSheetId="86">'444'!$D$27:$D$36</definedName>
    <definedName name="OSRRefD22_0x_0" localSheetId="87">'450'!$D$26:$D$35</definedName>
    <definedName name="OSRRefD22_0x_0" localSheetId="72">'491'!$D$27:$D$35</definedName>
    <definedName name="OSRRefD22_0x_0" localSheetId="83">'492'!$D$27:$D$36</definedName>
    <definedName name="OSRRefD22_0x_0" localSheetId="89">'501'!$D$21:$D$29</definedName>
    <definedName name="OSRRefD22_0x_0" localSheetId="39">'Div 2'!$D$20:$D$30</definedName>
    <definedName name="OSRRefD22_0x_0" localSheetId="47">'Div 3'!$D$56:$D$65</definedName>
    <definedName name="OSRRefD22_0x_0" localSheetId="70">'Div 4'!$D$29:$D$38</definedName>
    <definedName name="OSRRefD22_0x_0" localSheetId="88">'Div 5'!$D$21:$D$29</definedName>
    <definedName name="OSRRefD22_0x_0" localSheetId="61">'Div 6'!$D$34:$D$43</definedName>
    <definedName name="OSRRefD22_0x_0" localSheetId="2">Summary!$D$65:$D$74</definedName>
    <definedName name="OSRRefD22_10x_0" localSheetId="41">'201'!$D$58:$D$59</definedName>
    <definedName name="OSRRefD22_10x_0" localSheetId="42">'202'!$D$59</definedName>
    <definedName name="OSRRefD22_10x_0" localSheetId="43">'203'!$D$61</definedName>
    <definedName name="OSRRefD22_10x_0" localSheetId="48">'300'!$D$93:$D$94</definedName>
    <definedName name="OSRRefD22_10x_0" localSheetId="49">'300 &amp; 317'!$D$99:$D$100</definedName>
    <definedName name="OSRRefD22_10x_0" localSheetId="50">'301'!$D$59</definedName>
    <definedName name="OSRRefD22_10x_0" localSheetId="52">'307'!$D$70</definedName>
    <definedName name="OSRRefD22_10x_0" localSheetId="53">'308'!$D$74:$D$75</definedName>
    <definedName name="OSRRefD22_10x_0" localSheetId="64">'310'!$D$64:$D$65</definedName>
    <definedName name="OSRRefD22_10x_0" localSheetId="71">'310 &amp; 491'!$D$66</definedName>
    <definedName name="OSRRefD22_10x_0" localSheetId="54">'311'!$D$74:$D$75</definedName>
    <definedName name="OSRRefD22_10x_0" localSheetId="57">'315'!$D$81</definedName>
    <definedName name="OSRRefD22_10x_0" localSheetId="67">'321'!$D$64</definedName>
    <definedName name="OSRRefD22_10x_0" localSheetId="68">'325'!$D$62:$D$63</definedName>
    <definedName name="OSRRefD22_10x_0" localSheetId="58">'326'!$D$62</definedName>
    <definedName name="OSRRefD22_10x_0" localSheetId="51">'330'!$D$70</definedName>
    <definedName name="OSRRefD22_10x_0" localSheetId="56">'331'!$D$82</definedName>
    <definedName name="OSRRefD22_10x_0" localSheetId="73">'405'!$D$66:$D$69</definedName>
    <definedName name="OSRRefD22_10x_0" localSheetId="74">'411'!$D$62</definedName>
    <definedName name="OSRRefD22_10x_0" localSheetId="77">'415'!$D$65:$D$66</definedName>
    <definedName name="OSRRefD22_10x_0" localSheetId="78">'418'!$D$66</definedName>
    <definedName name="OSRRefD22_10x_0" localSheetId="85">'433'!$D$65:$D$67</definedName>
    <definedName name="OSRRefD22_10x_0" localSheetId="86">'444'!$D$65</definedName>
    <definedName name="OSRRefD22_10x_0" localSheetId="87">'450'!$D$64</definedName>
    <definedName name="OSRRefD22_10x_0" localSheetId="72">'491'!$D$65</definedName>
    <definedName name="OSRRefD22_10x_0" localSheetId="83">'492'!$D$65</definedName>
    <definedName name="OSRRefD22_10x_0" localSheetId="89">'501'!$D$60</definedName>
    <definedName name="OSRRefD22_10x_0" localSheetId="39">'Div 2'!$D$60</definedName>
    <definedName name="OSRRefD22_10x_0" localSheetId="47">'Div 3'!$D$96:$D$97</definedName>
    <definedName name="OSRRefD22_10x_0" localSheetId="70">'Div 4'!$D$68</definedName>
    <definedName name="OSRRefD22_10x_0" localSheetId="88">'Div 5'!$D$60</definedName>
    <definedName name="OSRRefD22_10x_0" localSheetId="2">Summary!$D$105:$D$106</definedName>
    <definedName name="OSRRefD22_11x_0" localSheetId="41">'201'!$D$61</definedName>
    <definedName name="OSRRefD22_11x_0" localSheetId="42">'202'!$D$61</definedName>
    <definedName name="OSRRefD22_11x_0" localSheetId="43">'203'!$D$63:$D$66</definedName>
    <definedName name="OSRRefD22_11x_0" localSheetId="48">'300'!$D$96:$D$97</definedName>
    <definedName name="OSRRefD22_11x_0" localSheetId="49">'300 &amp; 317'!$D$102:$D$103</definedName>
    <definedName name="OSRRefD22_11x_0" localSheetId="50">'301'!$D$61</definedName>
    <definedName name="OSRRefD22_11x_0" localSheetId="52">'307'!$D$72:$D$74</definedName>
    <definedName name="OSRRefD22_11x_0" localSheetId="53">'308'!$D$77:$D$78</definedName>
    <definedName name="OSRRefD22_11x_0" localSheetId="64">'310'!$D$67</definedName>
    <definedName name="OSRRefD22_11x_0" localSheetId="71">'310 &amp; 491'!$D$68</definedName>
    <definedName name="OSRRefD22_11x_0" localSheetId="54">'311'!$D$77:$D$78</definedName>
    <definedName name="OSRRefD22_11x_0" localSheetId="57">'315'!$D$83:$D$84</definedName>
    <definedName name="OSRRefD22_11x_0" localSheetId="67">'321'!$D$66</definedName>
    <definedName name="OSRRefD22_11x_0" localSheetId="68">'325'!$D$65:$D$67</definedName>
    <definedName name="OSRRefD22_11x_0" localSheetId="58">'326'!$D$64:$D$65</definedName>
    <definedName name="OSRRefD22_11x_0" localSheetId="51">'330'!$D$72:$D$74</definedName>
    <definedName name="OSRRefD22_11x_0" localSheetId="56">'331'!$D$84</definedName>
    <definedName name="OSRRefD22_11x_0" localSheetId="73">'405'!$D$71</definedName>
    <definedName name="OSRRefD22_11x_0" localSheetId="74">'411'!$D$64</definedName>
    <definedName name="OSRRefD22_11x_0" localSheetId="77">'415'!$D$68:$D$71</definedName>
    <definedName name="OSRRefD22_11x_0" localSheetId="78">'418'!$D$68:$D$75</definedName>
    <definedName name="OSRRefD22_11x_0" localSheetId="85">'433'!$D$69:$D$72</definedName>
    <definedName name="OSRRefD22_11x_0" localSheetId="86">'444'!$D$67:$D$68</definedName>
    <definedName name="OSRRefD22_11x_0" localSheetId="87">'450'!$D$66:$D$67</definedName>
    <definedName name="OSRRefD22_11x_0" localSheetId="72">'491'!$D$67</definedName>
    <definedName name="OSRRefD22_11x_0" localSheetId="83">'492'!$D$67</definedName>
    <definedName name="OSRRefD22_11x_0" localSheetId="89">'501'!$D$62:$D$63</definedName>
    <definedName name="OSRRefD22_11x_0" localSheetId="39">'Div 2'!$D$62</definedName>
    <definedName name="OSRRefD22_11x_0" localSheetId="47">'Div 3'!$D$99:$D$100</definedName>
    <definedName name="OSRRefD22_11x_0" localSheetId="70">'Div 4'!$D$70</definedName>
    <definedName name="OSRRefD22_11x_0" localSheetId="88">'Div 5'!$D$62:$D$63</definedName>
    <definedName name="OSRRefD22_11x_0" localSheetId="2">Summary!$D$108:$D$109</definedName>
    <definedName name="OSRRefD22_12x_0" localSheetId="43">'203'!$D$68</definedName>
    <definedName name="OSRRefD22_12x_0" localSheetId="48">'300'!$D$99</definedName>
    <definedName name="OSRRefD22_12x_0" localSheetId="49">'300 &amp; 317'!$D$105</definedName>
    <definedName name="OSRRefD22_12x_0" localSheetId="50">'301'!$D$63</definedName>
    <definedName name="OSRRefD22_12x_0" localSheetId="52">'307'!$D$76</definedName>
    <definedName name="OSRRefD22_12x_0" localSheetId="64">'310'!$D$69:$D$71</definedName>
    <definedName name="OSRRefD22_12x_0" localSheetId="71">'310 &amp; 491'!$D$70:$D$72</definedName>
    <definedName name="OSRRefD22_12x_0" localSheetId="57">'315'!$D$86:$D$88</definedName>
    <definedName name="OSRRefD22_12x_0" localSheetId="68">'325'!$D$69:$D$73</definedName>
    <definedName name="OSRRefD22_12x_0" localSheetId="58">'326'!$D$67:$D$68</definedName>
    <definedName name="OSRRefD22_12x_0" localSheetId="51">'330'!$D$76</definedName>
    <definedName name="OSRRefD22_12x_0" localSheetId="56">'331'!$D$86</definedName>
    <definedName name="OSRRefD22_12x_0" localSheetId="73">'405'!$D$73:$D$80</definedName>
    <definedName name="OSRRefD22_12x_0" localSheetId="74">'411'!$D$66</definedName>
    <definedName name="OSRRefD22_12x_0" localSheetId="77">'415'!$D$73</definedName>
    <definedName name="OSRRefD22_12x_0" localSheetId="78">'418'!$D$77:$D$78</definedName>
    <definedName name="OSRRefD22_12x_0" localSheetId="85">'433'!$D$74:$D$79</definedName>
    <definedName name="OSRRefD22_12x_0" localSheetId="86">'444'!$D$70:$D$73</definedName>
    <definedName name="OSRRefD22_12x_0" localSheetId="87">'450'!$D$69:$D$72</definedName>
    <definedName name="OSRRefD22_12x_0" localSheetId="72">'491'!$D$69:$D$71</definedName>
    <definedName name="OSRRefD22_12x_0" localSheetId="83">'492'!$D$69:$D$71</definedName>
    <definedName name="OSRRefD22_12x_0" localSheetId="89">'501'!$D$65</definedName>
    <definedName name="OSRRefD22_12x_0" localSheetId="39">'Div 2'!$D$64:$D$67</definedName>
    <definedName name="OSRRefD22_12x_0" localSheetId="47">'Div 3'!$D$102</definedName>
    <definedName name="OSRRefD22_12x_0" localSheetId="70">'Div 4'!$D$72</definedName>
    <definedName name="OSRRefD22_12x_0" localSheetId="88">'Div 5'!$D$65</definedName>
    <definedName name="OSRRefD22_12x_0" localSheetId="2">Summary!$D$111</definedName>
    <definedName name="OSRRefD22_13x_0" localSheetId="43">'203'!$D$70</definedName>
    <definedName name="OSRRefD22_13x_0" localSheetId="48">'300'!$D$101</definedName>
    <definedName name="OSRRefD22_13x_0" localSheetId="49">'300 &amp; 317'!$D$107</definedName>
    <definedName name="OSRRefD22_13x_0" localSheetId="50">'301'!$D$65</definedName>
    <definedName name="OSRRefD22_13x_0" localSheetId="64">'310'!$D$73:$D$77</definedName>
    <definedName name="OSRRefD22_13x_0" localSheetId="71">'310 &amp; 491'!$D$74</definedName>
    <definedName name="OSRRefD22_13x_0" localSheetId="57">'315'!$D$90:$D$91</definedName>
    <definedName name="OSRRefD22_13x_0" localSheetId="68">'325'!$D$75:$D$76</definedName>
    <definedName name="OSRRefD22_13x_0" localSheetId="58">'326'!$D$70:$D$71</definedName>
    <definedName name="OSRRefD22_13x_0" localSheetId="56">'331'!$D$88:$D$89</definedName>
    <definedName name="OSRRefD22_13x_0" localSheetId="73">'405'!$D$82</definedName>
    <definedName name="OSRRefD22_13x_0" localSheetId="74">'411'!$D$68</definedName>
    <definedName name="OSRRefD22_13x_0" localSheetId="77">'415'!$D$75:$D$80</definedName>
    <definedName name="OSRRefD22_13x_0" localSheetId="78">'418'!$D$80</definedName>
    <definedName name="OSRRefD22_13x_0" localSheetId="85">'433'!$D$81</definedName>
    <definedName name="OSRRefD22_13x_0" localSheetId="86">'444'!$D$75:$D$80</definedName>
    <definedName name="OSRRefD22_13x_0" localSheetId="87">'450'!$D$74:$D$79</definedName>
    <definedName name="OSRRefD22_13x_0" localSheetId="72">'491'!$D$73:$D$77</definedName>
    <definedName name="OSRRefD22_13x_0" localSheetId="83">'492'!$D$73:$D$76</definedName>
    <definedName name="OSRRefD22_13x_0" localSheetId="39">'Div 2'!$D$69:$D$72</definedName>
    <definedName name="OSRRefD22_13x_0" localSheetId="47">'Div 3'!$D$104</definedName>
    <definedName name="OSRRefD22_13x_0" localSheetId="70">'Div 4'!$D$74</definedName>
    <definedName name="OSRRefD22_13x_0" localSheetId="2">Summary!$D$113</definedName>
    <definedName name="OSRRefD22_14x_0" localSheetId="48">'300'!$D$103</definedName>
    <definedName name="OSRRefD22_14x_0" localSheetId="49">'300 &amp; 317'!$D$109</definedName>
    <definedName name="OSRRefD22_14x_0" localSheetId="50">'301'!$D$67:$D$70</definedName>
    <definedName name="OSRRefD22_14x_0" localSheetId="64">'310'!$D$79:$D$80</definedName>
    <definedName name="OSRRefD22_14x_0" localSheetId="71">'310 &amp; 491'!$D$76:$D$80</definedName>
    <definedName name="OSRRefD22_14x_0" localSheetId="57">'315'!$D$93:$D$95</definedName>
    <definedName name="OSRRefD22_14x_0" localSheetId="68">'325'!$D$78</definedName>
    <definedName name="OSRRefD22_14x_0" localSheetId="58">'326'!$D$73:$D$75</definedName>
    <definedName name="OSRRefD22_14x_0" localSheetId="56">'331'!$D$91:$D$93</definedName>
    <definedName name="OSRRefD22_14x_0" localSheetId="73">'405'!$D$84</definedName>
    <definedName name="OSRRefD22_14x_0" localSheetId="77">'415'!$D$82:$D$83</definedName>
    <definedName name="OSRRefD22_14x_0" localSheetId="78">'418'!$D$82</definedName>
    <definedName name="OSRRefD22_14x_0" localSheetId="86">'444'!$D$82</definedName>
    <definedName name="OSRRefD22_14x_0" localSheetId="87">'450'!$D$81</definedName>
    <definedName name="OSRRefD22_14x_0" localSheetId="72">'491'!$D$79</definedName>
    <definedName name="OSRRefD22_14x_0" localSheetId="83">'492'!$D$78:$D$84</definedName>
    <definedName name="OSRRefD22_14x_0" localSheetId="39">'Div 2'!$D$74:$D$75</definedName>
    <definedName name="OSRRefD22_14x_0" localSheetId="47">'Div 3'!$D$106</definedName>
    <definedName name="OSRRefD22_14x_0" localSheetId="70">'Div 4'!$D$76:$D$78</definedName>
    <definedName name="OSRRefD22_14x_0" localSheetId="2">Summary!$D$115</definedName>
    <definedName name="OSRRefD22_15x_0" localSheetId="48">'300'!$D$105</definedName>
    <definedName name="OSRRefD22_15x_0" localSheetId="49">'300 &amp; 317'!$D$111</definedName>
    <definedName name="OSRRefD22_15x_0" localSheetId="50">'301'!$D$72:$D$73</definedName>
    <definedName name="OSRRefD22_15x_0" localSheetId="64">'310'!$D$82</definedName>
    <definedName name="OSRRefD22_15x_0" localSheetId="71">'310 &amp; 491'!$D$82</definedName>
    <definedName name="OSRRefD22_15x_0" localSheetId="57">'315'!$D$97</definedName>
    <definedName name="OSRRefD22_15x_0" localSheetId="58">'326'!$D$77</definedName>
    <definedName name="OSRRefD22_15x_0" localSheetId="56">'331'!$D$95:$D$96</definedName>
    <definedName name="OSRRefD22_15x_0" localSheetId="77">'415'!$D$85</definedName>
    <definedName name="OSRRefD22_15x_0" localSheetId="86">'444'!$D$84</definedName>
    <definedName name="OSRRefD22_15x_0" localSheetId="87">'450'!$D$83</definedName>
    <definedName name="OSRRefD22_15x_0" localSheetId="72">'491'!$D$81:$D$89</definedName>
    <definedName name="OSRRefD22_15x_0" localSheetId="83">'492'!$D$86:$D$87</definedName>
    <definedName name="OSRRefD22_15x_0" localSheetId="39">'Div 2'!$D$77</definedName>
    <definedName name="OSRRefD22_15x_0" localSheetId="47">'Div 3'!$D$108</definedName>
    <definedName name="OSRRefD22_15x_0" localSheetId="70">'Div 4'!$D$80:$D$84</definedName>
    <definedName name="OSRRefD22_15x_0" localSheetId="2">Summary!$D$117</definedName>
    <definedName name="OSRRefD22_16x_0" localSheetId="48">'300'!$D$107:$D$110</definedName>
    <definedName name="OSRRefD22_16x_0" localSheetId="49">'300 &amp; 317'!$D$113:$D$116</definedName>
    <definedName name="OSRRefD22_16x_0" localSheetId="50">'301'!$D$75</definedName>
    <definedName name="OSRRefD22_16x_0" localSheetId="64">'310'!$D$84</definedName>
    <definedName name="OSRRefD22_16x_0" localSheetId="71">'310 &amp; 491'!$D$84:$D$93</definedName>
    <definedName name="OSRRefD22_16x_0" localSheetId="57">'315'!$D$99</definedName>
    <definedName name="OSRRefD22_16x_0" localSheetId="58">'326'!$D$79:$D$80</definedName>
    <definedName name="OSRRefD22_16x_0" localSheetId="56">'331'!$D$98:$D$99</definedName>
    <definedName name="OSRRefD22_16x_0" localSheetId="77">'415'!$D$87</definedName>
    <definedName name="OSRRefD22_16x_0" localSheetId="72">'491'!$D$91:$D$92</definedName>
    <definedName name="OSRRefD22_16x_0" localSheetId="83">'492'!$D$89</definedName>
    <definedName name="OSRRefD22_16x_0" localSheetId="39">'Div 2'!$D$79:$D$84</definedName>
    <definedName name="OSRRefD22_16x_0" localSheetId="47">'Div 3'!$D$110</definedName>
    <definedName name="OSRRefD22_16x_0" localSheetId="70">'Div 4'!$D$86</definedName>
    <definedName name="OSRRefD22_16x_0" localSheetId="2">Summary!$D$119</definedName>
    <definedName name="OSRRefD22_17x_0" localSheetId="48">'300'!$D$112:$D$115</definedName>
    <definedName name="OSRRefD22_17x_0" localSheetId="49">'300 &amp; 317'!$D$118:$D$121</definedName>
    <definedName name="OSRRefD22_17x_0" localSheetId="50">'301'!$D$77:$D$81</definedName>
    <definedName name="OSRRefD22_17x_0" localSheetId="71">'310 &amp; 491'!$D$95:$D$96</definedName>
    <definedName name="OSRRefD22_17x_0" localSheetId="58">'326'!$D$82</definedName>
    <definedName name="OSRRefD22_17x_0" localSheetId="56">'331'!$D$101:$D$104</definedName>
    <definedName name="OSRRefD22_17x_0" localSheetId="72">'491'!$D$94</definedName>
    <definedName name="OSRRefD22_17x_0" localSheetId="83">'492'!$D$91</definedName>
    <definedName name="OSRRefD22_17x_0" localSheetId="39">'Div 2'!$D$86:$D$87</definedName>
    <definedName name="OSRRefD22_17x_0" localSheetId="47">'Div 3'!$D$112:$D$115</definedName>
    <definedName name="OSRRefD22_17x_0" localSheetId="70">'Div 4'!$D$88:$D$97</definedName>
    <definedName name="OSRRefD22_17x_0" localSheetId="2">Summary!$D$121</definedName>
    <definedName name="OSRRefD22_18x_0" localSheetId="48">'300'!$D$117:$D$119</definedName>
    <definedName name="OSRRefD22_18x_0" localSheetId="49">'300 &amp; 317'!$D$123:$D$125</definedName>
    <definedName name="OSRRefD22_18x_0" localSheetId="50">'301'!$D$83</definedName>
    <definedName name="OSRRefD22_18x_0" localSheetId="71">'310 &amp; 491'!$D$98</definedName>
    <definedName name="OSRRefD22_18x_0" localSheetId="56">'331'!$D$106</definedName>
    <definedName name="OSRRefD22_18x_0" localSheetId="72">'491'!$D$96</definedName>
    <definedName name="OSRRefD22_18x_0" localSheetId="39">'Div 2'!$D$89</definedName>
    <definedName name="OSRRefD22_18x_0" localSheetId="47">'Div 3'!$D$117:$D$120</definedName>
    <definedName name="OSRRefD22_18x_0" localSheetId="70">'Div 4'!$D$99:$D$100</definedName>
    <definedName name="OSRRefD22_18x_0" localSheetId="2">Summary!$D$123:$D$126</definedName>
    <definedName name="OSRRefD22_19x_0" localSheetId="48">'300'!$D$121:$D$122</definedName>
    <definedName name="OSRRefD22_19x_0" localSheetId="49">'300 &amp; 317'!$D$127:$D$128</definedName>
    <definedName name="OSRRefD22_19x_0" localSheetId="50">'301'!$D$85</definedName>
    <definedName name="OSRRefD22_19x_0" localSheetId="71">'310 &amp; 491'!$D$100</definedName>
    <definedName name="OSRRefD22_19x_0" localSheetId="56">'331'!$D$108:$D$109</definedName>
    <definedName name="OSRRefD22_19x_0" localSheetId="39">'Div 2'!$D$91</definedName>
    <definedName name="OSRRefD22_19x_0" localSheetId="47">'Div 3'!$D$122:$D$125</definedName>
    <definedName name="OSRRefD22_19x_0" localSheetId="70">'Div 4'!$D$102</definedName>
    <definedName name="OSRRefD22_19x_0" localSheetId="2">Summary!$D$128:$D$131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'204'!$D$30:$D$39</definedName>
    <definedName name="OSRRefD22_1x_0" localSheetId="45">'205'!$D$30:$D$39</definedName>
    <definedName name="OSRRefD22_1x_0" localSheetId="46">'206'!$D$30:$D$39</definedName>
    <definedName name="OSRRefD22_1x_0" localSheetId="48">'300'!$D$64:$D$73</definedName>
    <definedName name="OSRRefD22_1x_0" localSheetId="49">'300 &amp; 317'!$D$70:$D$79</definedName>
    <definedName name="OSRRefD22_1x_0" localSheetId="50">'301'!$D$31:$D$40</definedName>
    <definedName name="OSRRefD22_1x_0" localSheetId="52">'307'!$D$42:$D$51</definedName>
    <definedName name="OSRRefD22_1x_0" localSheetId="53">'308'!$D$45:$D$54</definedName>
    <definedName name="OSRRefD22_1x_0" localSheetId="65">'309'!$D$22:$D$23</definedName>
    <definedName name="OSRRefD22_1x_0" localSheetId="64">'310'!$D$36:$D$45</definedName>
    <definedName name="OSRRefD22_1x_0" localSheetId="71">'310 &amp; 491'!$D$38:$D$47</definedName>
    <definedName name="OSRRefD22_1x_0" localSheetId="54">'311'!$D$45:$D$54</definedName>
    <definedName name="OSRRefD22_1x_0" localSheetId="66">'313'!$D$22</definedName>
    <definedName name="OSRRefD22_1x_0" localSheetId="57">'315'!$D$53:$D$62</definedName>
    <definedName name="OSRRefD22_1x_0" localSheetId="60">'316'!$D$36:$D$45</definedName>
    <definedName name="OSRRefD22_1x_0" localSheetId="62">'317'!$D$45:$D$54</definedName>
    <definedName name="OSRRefD22_1x_0" localSheetId="67">'321'!$D$33:$D$42</definedName>
    <definedName name="OSRRefD22_1x_0" localSheetId="68">'325'!$D$34:$D$43</definedName>
    <definedName name="OSRRefD22_1x_0" localSheetId="58">'326'!$D$35:$D$44</definedName>
    <definedName name="OSRRefD22_1x_0" localSheetId="51">'330'!$D$42:$D$51</definedName>
    <definedName name="OSRRefD22_1x_0" localSheetId="56">'331'!$D$53:$D$62</definedName>
    <definedName name="OSRRefD22_1x_0" localSheetId="59">'332'!$D$36:$D$45</definedName>
    <definedName name="OSRRefD22_1x_0" localSheetId="73">'405'!$D$37:$D$46</definedName>
    <definedName name="OSRRefD22_1x_0" localSheetId="74">'411'!$D$30:$D$39</definedName>
    <definedName name="OSRRefD22_1x_0" localSheetId="75">'412'!$D$22</definedName>
    <definedName name="OSRRefD22_1x_0" localSheetId="76">'413'!$D$22</definedName>
    <definedName name="OSRRefD22_1x_0" localSheetId="77">'415'!$D$37:$D$46</definedName>
    <definedName name="OSRRefD22_1x_0" localSheetId="78">'418'!$D$34:$D$43</definedName>
    <definedName name="OSRRefD22_1x_0" localSheetId="79">'423'!$D$29:$D$38</definedName>
    <definedName name="OSRRefD22_1x_0" localSheetId="80">'424'!$D$22</definedName>
    <definedName name="OSRRefD22_1x_0" localSheetId="81">'425'!$D$23</definedName>
    <definedName name="OSRRefD22_1x_0" localSheetId="84">'430'!$D$30:$D$39</definedName>
    <definedName name="OSRRefD22_1x_0" localSheetId="85">'433'!$D$38:$D$47</definedName>
    <definedName name="OSRRefD22_1x_0" localSheetId="86">'444'!$D$38:$D$47</definedName>
    <definedName name="OSRRefD22_1x_0" localSheetId="87">'450'!$D$37:$D$46</definedName>
    <definedName name="OSRRefD22_1x_0" localSheetId="72">'491'!$D$37:$D$46</definedName>
    <definedName name="OSRRefD22_1x_0" localSheetId="83">'492'!$D$38:$D$47</definedName>
    <definedName name="OSRRefD22_1x_0" localSheetId="89">'501'!$D$31:$D$40</definedName>
    <definedName name="OSRRefD22_1x_0" localSheetId="39">'Div 2'!$D$32:$D$41</definedName>
    <definedName name="OSRRefD22_1x_0" localSheetId="47">'Div 3'!$D$67:$D$76</definedName>
    <definedName name="OSRRefD22_1x_0" localSheetId="70">'Div 4'!$D$40:$D$49</definedName>
    <definedName name="OSRRefD22_1x_0" localSheetId="88">'Div 5'!$D$31:$D$40</definedName>
    <definedName name="OSRRefD22_1x_0" localSheetId="61">'Div 6'!$D$45:$D$54</definedName>
    <definedName name="OSRRefD22_1x_0" localSheetId="2">Summary!$D$76:$D$85</definedName>
    <definedName name="OSRRefD22_20x_0" localSheetId="48">'300'!$D$124:$D$129</definedName>
    <definedName name="OSRRefD22_20x_0" localSheetId="49">'300 &amp; 317'!$D$130:$D$135</definedName>
    <definedName name="OSRRefD22_20x_0" localSheetId="50">'301'!$D$87</definedName>
    <definedName name="OSRRefD22_20x_0" localSheetId="56">'331'!$D$111</definedName>
    <definedName name="OSRRefD22_20x_0" localSheetId="47">'Div 3'!$D$127:$D$128</definedName>
    <definedName name="OSRRefD22_20x_0" localSheetId="70">'Div 4'!$D$104</definedName>
    <definedName name="OSRRefD22_20x_0" localSheetId="2">Summary!$D$133:$D$137</definedName>
    <definedName name="OSRRefD22_21x_0" localSheetId="48">'300'!$D$131:$D$132</definedName>
    <definedName name="OSRRefD22_21x_0" localSheetId="49">'300 &amp; 317'!$D$137:$D$138</definedName>
    <definedName name="OSRRefD22_21x_0" localSheetId="47">'Div 3'!$D$130:$D$136</definedName>
    <definedName name="OSRRefD22_21x_0" localSheetId="70">'Div 4'!$D$106</definedName>
    <definedName name="OSRRefD22_21x_0" localSheetId="2">Summary!$D$139:$D$140</definedName>
    <definedName name="OSRRefD22_22x_0" localSheetId="48">'300'!$D$134:$D$136</definedName>
    <definedName name="OSRRefD22_22x_0" localSheetId="49">'300 &amp; 317'!$D$140:$D$142</definedName>
    <definedName name="OSRRefD22_22x_0" localSheetId="47">'Div 3'!$D$138:$D$139</definedName>
    <definedName name="OSRRefD22_22x_0" localSheetId="2">Summary!$D$142:$D$151</definedName>
    <definedName name="OSRRefD22_23x_0" localSheetId="48">'300'!$D$138</definedName>
    <definedName name="OSRRefD22_23x_0" localSheetId="49">'300 &amp; 317'!$D$144</definedName>
    <definedName name="OSRRefD22_23x_0" localSheetId="47">'Div 3'!$D$141</definedName>
    <definedName name="OSRRefD22_23x_0" localSheetId="2">Summary!$D$153:$D$154</definedName>
    <definedName name="OSRRefD22_24x_0" localSheetId="47">'Div 3'!$D$143:$D$145</definedName>
    <definedName name="OSRRefD22_24x_0" localSheetId="2">Summary!$D$156</definedName>
    <definedName name="OSRRefD22_25x_0" localSheetId="47">'Div 3'!$D$147</definedName>
    <definedName name="OSRRefD22_25x_0" localSheetId="2">Summary!$D$158:$D$160</definedName>
    <definedName name="OSRRefD22_26x_0" localSheetId="2">Summary!$D$162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'204'!$D$41</definedName>
    <definedName name="OSRRefD22_2x_0" localSheetId="45">'205'!$D$41</definedName>
    <definedName name="OSRRefD22_2x_0" localSheetId="46">'206'!$D$41</definedName>
    <definedName name="OSRRefD22_2x_0" localSheetId="48">'300'!$D$75</definedName>
    <definedName name="OSRRefD22_2x_0" localSheetId="49">'300 &amp; 317'!$D$81</definedName>
    <definedName name="OSRRefD22_2x_0" localSheetId="50">'301'!$D$42</definedName>
    <definedName name="OSRRefD22_2x_0" localSheetId="52">'307'!$D$53</definedName>
    <definedName name="OSRRefD22_2x_0" localSheetId="53">'308'!$D$56</definedName>
    <definedName name="OSRRefD22_2x_0" localSheetId="65">'309'!$D$25</definedName>
    <definedName name="OSRRefD22_2x_0" localSheetId="64">'310'!$D$47</definedName>
    <definedName name="OSRRefD22_2x_0" localSheetId="71">'310 &amp; 491'!$D$49</definedName>
    <definedName name="OSRRefD22_2x_0" localSheetId="54">'311'!$D$56</definedName>
    <definedName name="OSRRefD22_2x_0" localSheetId="57">'315'!$D$64</definedName>
    <definedName name="OSRRefD22_2x_0" localSheetId="60">'316'!$D$47</definedName>
    <definedName name="OSRRefD22_2x_0" localSheetId="62">'317'!$D$56</definedName>
    <definedName name="OSRRefD22_2x_0" localSheetId="67">'321'!$D$44</definedName>
    <definedName name="OSRRefD22_2x_0" localSheetId="68">'325'!$D$45</definedName>
    <definedName name="OSRRefD22_2x_0" localSheetId="58">'326'!$D$46</definedName>
    <definedName name="OSRRefD22_2x_0" localSheetId="51">'330'!$D$53</definedName>
    <definedName name="OSRRefD22_2x_0" localSheetId="56">'331'!$D$64</definedName>
    <definedName name="OSRRefD22_2x_0" localSheetId="59">'332'!$D$47</definedName>
    <definedName name="OSRRefD22_2x_0" localSheetId="73">'405'!$D$48</definedName>
    <definedName name="OSRRefD22_2x_0" localSheetId="74">'411'!$D$41</definedName>
    <definedName name="OSRRefD22_2x_0" localSheetId="75">'412'!$D$24</definedName>
    <definedName name="OSRRefD22_2x_0" localSheetId="77">'415'!$D$48</definedName>
    <definedName name="OSRRefD22_2x_0" localSheetId="78">'418'!$D$45</definedName>
    <definedName name="OSRRefD22_2x_0" localSheetId="79">'423'!$D$40</definedName>
    <definedName name="OSRRefD22_2x_0" localSheetId="84">'430'!$D$41</definedName>
    <definedName name="OSRRefD22_2x_0" localSheetId="85">'433'!$D$49</definedName>
    <definedName name="OSRRefD22_2x_0" localSheetId="86">'444'!$D$49</definedName>
    <definedName name="OSRRefD22_2x_0" localSheetId="87">'450'!$D$48</definedName>
    <definedName name="OSRRefD22_2x_0" localSheetId="72">'491'!$D$48</definedName>
    <definedName name="OSRRefD22_2x_0" localSheetId="83">'492'!$D$49</definedName>
    <definedName name="OSRRefD22_2x_0" localSheetId="89">'501'!$D$42</definedName>
    <definedName name="OSRRefD22_2x_0" localSheetId="39">'Div 2'!$D$43</definedName>
    <definedName name="OSRRefD22_2x_0" localSheetId="47">'Div 3'!$D$78</definedName>
    <definedName name="OSRRefD22_2x_0" localSheetId="70">'Div 4'!$D$51</definedName>
    <definedName name="OSRRefD22_2x_0" localSheetId="88">'Div 5'!$D$42</definedName>
    <definedName name="OSRRefD22_2x_0" localSheetId="61">'Div 6'!$D$56</definedName>
    <definedName name="OSRRefD22_2x_0" localSheetId="2">Summary!$D$87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'204'!$D$43:$D$44</definedName>
    <definedName name="OSRRefD22_3x_0" localSheetId="45">'205'!$D$43</definedName>
    <definedName name="OSRRefD22_3x_0" localSheetId="46">'206'!$D$43</definedName>
    <definedName name="OSRRefD22_3x_0" localSheetId="48">'300'!$D$77</definedName>
    <definedName name="OSRRefD22_3x_0" localSheetId="49">'300 &amp; 317'!$D$83</definedName>
    <definedName name="OSRRefD22_3x_0" localSheetId="50">'301'!$D$44</definedName>
    <definedName name="OSRRefD22_3x_0" localSheetId="52">'307'!$D$55</definedName>
    <definedName name="OSRRefD22_3x_0" localSheetId="53">'308'!$D$58</definedName>
    <definedName name="OSRRefD22_3x_0" localSheetId="64">'310'!$D$49</definedName>
    <definedName name="OSRRefD22_3x_0" localSheetId="71">'310 &amp; 491'!$D$51</definedName>
    <definedName name="OSRRefD22_3x_0" localSheetId="54">'311'!$D$58</definedName>
    <definedName name="OSRRefD22_3x_0" localSheetId="57">'315'!$D$66</definedName>
    <definedName name="OSRRefD22_3x_0" localSheetId="60">'316'!$D$49</definedName>
    <definedName name="OSRRefD22_3x_0" localSheetId="62">'317'!$D$58</definedName>
    <definedName name="OSRRefD22_3x_0" localSheetId="67">'321'!$D$46</definedName>
    <definedName name="OSRRefD22_3x_0" localSheetId="68">'325'!$D$47</definedName>
    <definedName name="OSRRefD22_3x_0" localSheetId="58">'326'!$D$48</definedName>
    <definedName name="OSRRefD22_3x_0" localSheetId="51">'330'!$D$55</definedName>
    <definedName name="OSRRefD22_3x_0" localSheetId="56">'331'!$D$66</definedName>
    <definedName name="OSRRefD22_3x_0" localSheetId="59">'332'!$D$49</definedName>
    <definedName name="OSRRefD22_3x_0" localSheetId="73">'405'!$D$50</definedName>
    <definedName name="OSRRefD22_3x_0" localSheetId="74">'411'!$D$43:$D$44</definedName>
    <definedName name="OSRRefD22_3x_0" localSheetId="77">'415'!$D$50</definedName>
    <definedName name="OSRRefD22_3x_0" localSheetId="78">'418'!$D$47</definedName>
    <definedName name="OSRRefD22_3x_0" localSheetId="79">'423'!$D$42</definedName>
    <definedName name="OSRRefD22_3x_0" localSheetId="84">'430'!$D$43</definedName>
    <definedName name="OSRRefD22_3x_0" localSheetId="85">'433'!$D$51</definedName>
    <definedName name="OSRRefD22_3x_0" localSheetId="86">'444'!$D$51</definedName>
    <definedName name="OSRRefD22_3x_0" localSheetId="87">'450'!$D$50</definedName>
    <definedName name="OSRRefD22_3x_0" localSheetId="72">'491'!$D$50</definedName>
    <definedName name="OSRRefD22_3x_0" localSheetId="83">'492'!$D$51</definedName>
    <definedName name="OSRRefD22_3x_0" localSheetId="89">'501'!$D$44</definedName>
    <definedName name="OSRRefD22_3x_0" localSheetId="39">'Div 2'!$D$45</definedName>
    <definedName name="OSRRefD22_3x_0" localSheetId="47">'Div 3'!$D$80</definedName>
    <definedName name="OSRRefD22_3x_0" localSheetId="70">'Div 4'!$D$53</definedName>
    <definedName name="OSRRefD22_3x_0" localSheetId="88">'Div 5'!$D$44</definedName>
    <definedName name="OSRRefD22_3x_0" localSheetId="61">'Div 6'!$D$58</definedName>
    <definedName name="OSRRefD22_3x_0" localSheetId="2">Summary!$D$89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'205'!$D$45:$D$46</definedName>
    <definedName name="OSRRefD22_4x_0" localSheetId="46">'206'!$D$45:$D$46</definedName>
    <definedName name="OSRRefD22_4x_0" localSheetId="48">'300'!$D$79</definedName>
    <definedName name="OSRRefD22_4x_0" localSheetId="49">'300 &amp; 317'!$D$85</definedName>
    <definedName name="OSRRefD22_4x_0" localSheetId="50">'301'!$D$46</definedName>
    <definedName name="OSRRefD22_4x_0" localSheetId="52">'307'!$D$57</definedName>
    <definedName name="OSRRefD22_4x_0" localSheetId="53">'308'!$D$60</definedName>
    <definedName name="OSRRefD22_4x_0" localSheetId="64">'310'!$D$51</definedName>
    <definedName name="OSRRefD22_4x_0" localSheetId="71">'310 &amp; 491'!$D$53</definedName>
    <definedName name="OSRRefD22_4x_0" localSheetId="54">'311'!$D$60</definedName>
    <definedName name="OSRRefD22_4x_0" localSheetId="57">'315'!$D$68</definedName>
    <definedName name="OSRRefD22_4x_0" localSheetId="60">'316'!$D$51</definedName>
    <definedName name="OSRRefD22_4x_0" localSheetId="62">'317'!$D$60</definedName>
    <definedName name="OSRRefD22_4x_0" localSheetId="67">'321'!$D$48</definedName>
    <definedName name="OSRRefD22_4x_0" localSheetId="68">'325'!$D$49</definedName>
    <definedName name="OSRRefD22_4x_0" localSheetId="58">'326'!$D$50</definedName>
    <definedName name="OSRRefD22_4x_0" localSheetId="51">'330'!$D$57</definedName>
    <definedName name="OSRRefD22_4x_0" localSheetId="56">'331'!$D$68</definedName>
    <definedName name="OSRRefD22_4x_0" localSheetId="59">'332'!$D$51</definedName>
    <definedName name="OSRRefD22_4x_0" localSheetId="73">'405'!$D$52</definedName>
    <definedName name="OSRRefD22_4x_0" localSheetId="74">'411'!$D$46</definedName>
    <definedName name="OSRRefD22_4x_0" localSheetId="77">'415'!$D$52</definedName>
    <definedName name="OSRRefD22_4x_0" localSheetId="78">'418'!$D$49:$D$50</definedName>
    <definedName name="OSRRefD22_4x_0" localSheetId="79">'423'!$D$44</definedName>
    <definedName name="OSRRefD22_4x_0" localSheetId="84">'430'!$D$45:$D$46</definedName>
    <definedName name="OSRRefD22_4x_0" localSheetId="85">'433'!$D$53</definedName>
    <definedName name="OSRRefD22_4x_0" localSheetId="86">'444'!$D$53</definedName>
    <definedName name="OSRRefD22_4x_0" localSheetId="87">'450'!$D$52</definedName>
    <definedName name="OSRRefD22_4x_0" localSheetId="72">'491'!$D$52</definedName>
    <definedName name="OSRRefD22_4x_0" localSheetId="83">'492'!$D$53</definedName>
    <definedName name="OSRRefD22_4x_0" localSheetId="89">'501'!$D$46</definedName>
    <definedName name="OSRRefD22_4x_0" localSheetId="39">'Div 2'!$D$47</definedName>
    <definedName name="OSRRefD22_4x_0" localSheetId="47">'Div 3'!$D$82</definedName>
    <definedName name="OSRRefD22_4x_0" localSheetId="70">'Div 4'!$D$55</definedName>
    <definedName name="OSRRefD22_4x_0" localSheetId="88">'Div 5'!$D$46</definedName>
    <definedName name="OSRRefD22_4x_0" localSheetId="61">'Div 6'!$D$60</definedName>
    <definedName name="OSRRefD22_4x_0" localSheetId="2">Summary!$D$91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'204'!$D$48:$D$51</definedName>
    <definedName name="OSRRefD22_5x_0" localSheetId="45">'205'!$D$48</definedName>
    <definedName name="OSRRefD22_5x_0" localSheetId="46">'206'!$D$48</definedName>
    <definedName name="OSRRefD22_5x_0" localSheetId="48">'300'!$D$81:$D$82</definedName>
    <definedName name="OSRRefD22_5x_0" localSheetId="49">'300 &amp; 317'!$D$87:$D$88</definedName>
    <definedName name="OSRRefD22_5x_0" localSheetId="50">'301'!$D$48:$D$49</definedName>
    <definedName name="OSRRefD22_5x_0" localSheetId="52">'307'!$D$59:$D$60</definedName>
    <definedName name="OSRRefD22_5x_0" localSheetId="53">'308'!$D$62</definedName>
    <definedName name="OSRRefD22_5x_0" localSheetId="64">'310'!$D$53:$D$54</definedName>
    <definedName name="OSRRefD22_5x_0" localSheetId="71">'310 &amp; 491'!$D$55:$D$56</definedName>
    <definedName name="OSRRefD22_5x_0" localSheetId="54">'311'!$D$62</definedName>
    <definedName name="OSRRefD22_5x_0" localSheetId="57">'315'!$D$70</definedName>
    <definedName name="OSRRefD22_5x_0" localSheetId="60">'316'!$D$53:$D$54</definedName>
    <definedName name="OSRRefD22_5x_0" localSheetId="62">'317'!$D$62</definedName>
    <definedName name="OSRRefD22_5x_0" localSheetId="67">'321'!$D$50</definedName>
    <definedName name="OSRRefD22_5x_0" localSheetId="68">'325'!$D$51:$D$52</definedName>
    <definedName name="OSRRefD22_5x_0" localSheetId="58">'326'!$D$52</definedName>
    <definedName name="OSRRefD22_5x_0" localSheetId="51">'330'!$D$59:$D$60</definedName>
    <definedName name="OSRRefD22_5x_0" localSheetId="56">'331'!$D$70</definedName>
    <definedName name="OSRRefD22_5x_0" localSheetId="59">'332'!$D$53:$D$54</definedName>
    <definedName name="OSRRefD22_5x_0" localSheetId="73">'405'!$D$54:$D$55</definedName>
    <definedName name="OSRRefD22_5x_0" localSheetId="74">'411'!$D$48</definedName>
    <definedName name="OSRRefD22_5x_0" localSheetId="77">'415'!$D$54:$D$55</definedName>
    <definedName name="OSRRefD22_5x_0" localSheetId="78">'418'!$D$52</definedName>
    <definedName name="OSRRefD22_5x_0" localSheetId="79">'423'!$D$46</definedName>
    <definedName name="OSRRefD22_5x_0" localSheetId="84">'430'!$D$48:$D$49</definedName>
    <definedName name="OSRRefD22_5x_0" localSheetId="85">'433'!$D$55</definedName>
    <definedName name="OSRRefD22_5x_0" localSheetId="86">'444'!$D$55</definedName>
    <definedName name="OSRRefD22_5x_0" localSheetId="87">'450'!$D$54</definedName>
    <definedName name="OSRRefD22_5x_0" localSheetId="72">'491'!$D$54:$D$55</definedName>
    <definedName name="OSRRefD22_5x_0" localSheetId="83">'492'!$D$55</definedName>
    <definedName name="OSRRefD22_5x_0" localSheetId="89">'501'!$D$48</definedName>
    <definedName name="OSRRefD22_5x_0" localSheetId="39">'Div 2'!$D$49:$D$50</definedName>
    <definedName name="OSRRefD22_5x_0" localSheetId="47">'Div 3'!$D$84:$D$85</definedName>
    <definedName name="OSRRefD22_5x_0" localSheetId="70">'Div 4'!$D$57:$D$58</definedName>
    <definedName name="OSRRefD22_5x_0" localSheetId="88">'Div 5'!$D$48</definedName>
    <definedName name="OSRRefD22_5x_0" localSheetId="61">'Div 6'!$D$62</definedName>
    <definedName name="OSRRefD22_5x_0" localSheetId="2">Summary!$D$93:$D$94</definedName>
    <definedName name="OSRRefD22_6x_0" localSheetId="41">'201'!$D$49</definedName>
    <definedName name="OSRRefD22_6x_0" localSheetId="42">'202'!$D$49:$D$51</definedName>
    <definedName name="OSRRefD22_6x_0" localSheetId="43">'203'!$D$50</definedName>
    <definedName name="OSRRefD22_6x_0" localSheetId="44">'204'!$D$53</definedName>
    <definedName name="OSRRefD22_6x_0" localSheetId="45">'205'!$D$50:$D$52</definedName>
    <definedName name="OSRRefD22_6x_0" localSheetId="46">'206'!$D$50:$D$51</definedName>
    <definedName name="OSRRefD22_6x_0" localSheetId="48">'300'!$D$84:$D$85</definedName>
    <definedName name="OSRRefD22_6x_0" localSheetId="49">'300 &amp; 317'!$D$90:$D$91</definedName>
    <definedName name="OSRRefD22_6x_0" localSheetId="50">'301'!$D$51</definedName>
    <definedName name="OSRRefD22_6x_0" localSheetId="52">'307'!$D$62</definedName>
    <definedName name="OSRRefD22_6x_0" localSheetId="53">'308'!$D$64</definedName>
    <definedName name="OSRRefD22_6x_0" localSheetId="64">'310'!$D$56</definedName>
    <definedName name="OSRRefD22_6x_0" localSheetId="71">'310 &amp; 491'!$D$58</definedName>
    <definedName name="OSRRefD22_6x_0" localSheetId="54">'311'!$D$64</definedName>
    <definedName name="OSRRefD22_6x_0" localSheetId="57">'315'!$D$72</definedName>
    <definedName name="OSRRefD22_6x_0" localSheetId="60">'316'!$D$56:$D$57</definedName>
    <definedName name="OSRRefD22_6x_0" localSheetId="62">'317'!$D$64</definedName>
    <definedName name="OSRRefD22_6x_0" localSheetId="67">'321'!$D$52:$D$53</definedName>
    <definedName name="OSRRefD22_6x_0" localSheetId="68">'325'!$D$54</definedName>
    <definedName name="OSRRefD22_6x_0" localSheetId="58">'326'!$D$54</definedName>
    <definedName name="OSRRefD22_6x_0" localSheetId="51">'330'!$D$62</definedName>
    <definedName name="OSRRefD22_6x_0" localSheetId="56">'331'!$D$72</definedName>
    <definedName name="OSRRefD22_6x_0" localSheetId="59">'332'!$D$56:$D$57</definedName>
    <definedName name="OSRRefD22_6x_0" localSheetId="73">'405'!$D$57</definedName>
    <definedName name="OSRRefD22_6x_0" localSheetId="74">'411'!$D$50</definedName>
    <definedName name="OSRRefD22_6x_0" localSheetId="77">'415'!$D$57</definedName>
    <definedName name="OSRRefD22_6x_0" localSheetId="78">'418'!$D$54</definedName>
    <definedName name="OSRRefD22_6x_0" localSheetId="84">'430'!$D$51</definedName>
    <definedName name="OSRRefD22_6x_0" localSheetId="85">'433'!$D$57</definedName>
    <definedName name="OSRRefD22_6x_0" localSheetId="86">'444'!$D$57</definedName>
    <definedName name="OSRRefD22_6x_0" localSheetId="87">'450'!$D$56</definedName>
    <definedName name="OSRRefD22_6x_0" localSheetId="72">'491'!$D$57</definedName>
    <definedName name="OSRRefD22_6x_0" localSheetId="83">'492'!$D$57</definedName>
    <definedName name="OSRRefD22_6x_0" localSheetId="89">'501'!$D$50</definedName>
    <definedName name="OSRRefD22_6x_0" localSheetId="39">'Div 2'!$D$52</definedName>
    <definedName name="OSRRefD22_6x_0" localSheetId="47">'Div 3'!$D$87:$D$88</definedName>
    <definedName name="OSRRefD22_6x_0" localSheetId="70">'Div 4'!$D$60</definedName>
    <definedName name="OSRRefD22_6x_0" localSheetId="88">'Div 5'!$D$50</definedName>
    <definedName name="OSRRefD22_6x_0" localSheetId="61">'Div 6'!$D$64</definedName>
    <definedName name="OSRRefD22_6x_0" localSheetId="2">Summary!$D$96:$D$97</definedName>
    <definedName name="OSRRefD22_7x_0" localSheetId="41">'201'!$D$51</definedName>
    <definedName name="OSRRefD22_7x_0" localSheetId="42">'202'!$D$53</definedName>
    <definedName name="OSRRefD22_7x_0" localSheetId="43">'203'!$D$52</definedName>
    <definedName name="OSRRefD22_7x_0" localSheetId="44">'204'!$D$55:$D$56</definedName>
    <definedName name="OSRRefD22_7x_0" localSheetId="45">'205'!$D$54</definedName>
    <definedName name="OSRRefD22_7x_0" localSheetId="46">'206'!$D$53</definedName>
    <definedName name="OSRRefD22_7x_0" localSheetId="48">'300'!$D$87</definedName>
    <definedName name="OSRRefD22_7x_0" localSheetId="49">'300 &amp; 317'!$D$93</definedName>
    <definedName name="OSRRefD22_7x_0" localSheetId="50">'301'!$D$53</definedName>
    <definedName name="OSRRefD22_7x_0" localSheetId="52">'307'!$D$64</definedName>
    <definedName name="OSRRefD22_7x_0" localSheetId="53">'308'!$D$66</definedName>
    <definedName name="OSRRefD22_7x_0" localSheetId="64">'310'!$D$58</definedName>
    <definedName name="OSRRefD22_7x_0" localSheetId="71">'310 &amp; 491'!$D$60</definedName>
    <definedName name="OSRRefD22_7x_0" localSheetId="54">'311'!$D$66</definedName>
    <definedName name="OSRRefD22_7x_0" localSheetId="57">'315'!$D$74:$D$75</definedName>
    <definedName name="OSRRefD22_7x_0" localSheetId="60">'316'!$D$59</definedName>
    <definedName name="OSRRefD22_7x_0" localSheetId="62">'317'!$D$66</definedName>
    <definedName name="OSRRefD22_7x_0" localSheetId="67">'321'!$D$55</definedName>
    <definedName name="OSRRefD22_7x_0" localSheetId="68">'325'!$D$56</definedName>
    <definedName name="OSRRefD22_7x_0" localSheetId="58">'326'!$D$56</definedName>
    <definedName name="OSRRefD22_7x_0" localSheetId="51">'330'!$D$64</definedName>
    <definedName name="OSRRefD22_7x_0" localSheetId="56">'331'!$D$74:$D$75</definedName>
    <definedName name="OSRRefD22_7x_0" localSheetId="59">'332'!$D$59</definedName>
    <definedName name="OSRRefD22_7x_0" localSheetId="73">'405'!$D$59</definedName>
    <definedName name="OSRRefD22_7x_0" localSheetId="74">'411'!$D$52</definedName>
    <definedName name="OSRRefD22_7x_0" localSheetId="77">'415'!$D$59</definedName>
    <definedName name="OSRRefD22_7x_0" localSheetId="78">'418'!$D$56</definedName>
    <definedName name="OSRRefD22_7x_0" localSheetId="84">'430'!$D$53</definedName>
    <definedName name="OSRRefD22_7x_0" localSheetId="85">'433'!$D$59</definedName>
    <definedName name="OSRRefD22_7x_0" localSheetId="86">'444'!$D$59</definedName>
    <definedName name="OSRRefD22_7x_0" localSheetId="87">'450'!$D$58</definedName>
    <definedName name="OSRRefD22_7x_0" localSheetId="72">'491'!$D$59</definedName>
    <definedName name="OSRRefD22_7x_0" localSheetId="83">'492'!$D$59</definedName>
    <definedName name="OSRRefD22_7x_0" localSheetId="89">'501'!$D$52</definedName>
    <definedName name="OSRRefD22_7x_0" localSheetId="39">'Div 2'!$D$54</definedName>
    <definedName name="OSRRefD22_7x_0" localSheetId="47">'Div 3'!$D$90</definedName>
    <definedName name="OSRRefD22_7x_0" localSheetId="70">'Div 4'!$D$62</definedName>
    <definedName name="OSRRefD22_7x_0" localSheetId="88">'Div 5'!$D$52</definedName>
    <definedName name="OSRRefD22_7x_0" localSheetId="61">'Div 6'!$D$66</definedName>
    <definedName name="OSRRefD22_7x_0" localSheetId="2">Summary!$D$99</definedName>
    <definedName name="OSRRefD22_8x_0" localSheetId="41">'201'!$D$53:$D$54</definedName>
    <definedName name="OSRRefD22_8x_0" localSheetId="42">'202'!$D$55</definedName>
    <definedName name="OSRRefD22_8x_0" localSheetId="43">'203'!$D$54:$D$56</definedName>
    <definedName name="OSRRefD22_8x_0" localSheetId="48">'300'!$D$89</definedName>
    <definedName name="OSRRefD22_8x_0" localSheetId="49">'300 &amp; 317'!$D$95</definedName>
    <definedName name="OSRRefD22_8x_0" localSheetId="50">'301'!$D$55</definedName>
    <definedName name="OSRRefD22_8x_0" localSheetId="52">'307'!$D$66</definedName>
    <definedName name="OSRRefD22_8x_0" localSheetId="53">'308'!$D$68:$D$70</definedName>
    <definedName name="OSRRefD22_8x_0" localSheetId="64">'310'!$D$60</definedName>
    <definedName name="OSRRefD22_8x_0" localSheetId="71">'310 &amp; 491'!$D$62</definedName>
    <definedName name="OSRRefD22_8x_0" localSheetId="54">'311'!$D$68:$D$70</definedName>
    <definedName name="OSRRefD22_8x_0" localSheetId="57">'315'!$D$77</definedName>
    <definedName name="OSRRefD22_8x_0" localSheetId="60">'316'!$D$61:$D$64</definedName>
    <definedName name="OSRRefD22_8x_0" localSheetId="62">'317'!$D$68:$D$69</definedName>
    <definedName name="OSRRefD22_8x_0" localSheetId="67">'321'!$D$57:$D$58</definedName>
    <definedName name="OSRRefD22_8x_0" localSheetId="68">'325'!$D$58</definedName>
    <definedName name="OSRRefD22_8x_0" localSheetId="58">'326'!$D$58</definedName>
    <definedName name="OSRRefD22_8x_0" localSheetId="51">'330'!$D$66</definedName>
    <definedName name="OSRRefD22_8x_0" localSheetId="56">'331'!$D$77:$D$78</definedName>
    <definedName name="OSRRefD22_8x_0" localSheetId="59">'332'!$D$61:$D$64</definedName>
    <definedName name="OSRRefD22_8x_0" localSheetId="73">'405'!$D$61</definedName>
    <definedName name="OSRRefD22_8x_0" localSheetId="74">'411'!$D$54:$D$56</definedName>
    <definedName name="OSRRefD22_8x_0" localSheetId="77">'415'!$D$61</definedName>
    <definedName name="OSRRefD22_8x_0" localSheetId="78">'418'!$D$58:$D$59</definedName>
    <definedName name="OSRRefD22_8x_0" localSheetId="85">'433'!$D$61</definedName>
    <definedName name="OSRRefD22_8x_0" localSheetId="86">'444'!$D$61</definedName>
    <definedName name="OSRRefD22_8x_0" localSheetId="87">'450'!$D$60</definedName>
    <definedName name="OSRRefD22_8x_0" localSheetId="72">'491'!$D$61</definedName>
    <definedName name="OSRRefD22_8x_0" localSheetId="83">'492'!$D$61</definedName>
    <definedName name="OSRRefD22_8x_0" localSheetId="89">'501'!$D$54</definedName>
    <definedName name="OSRRefD22_8x_0" localSheetId="39">'Div 2'!$D$56</definedName>
    <definedName name="OSRRefD22_8x_0" localSheetId="47">'Div 3'!$D$92</definedName>
    <definedName name="OSRRefD22_8x_0" localSheetId="70">'Div 4'!$D$64</definedName>
    <definedName name="OSRRefD22_8x_0" localSheetId="88">'Div 5'!$D$54</definedName>
    <definedName name="OSRRefD22_8x_0" localSheetId="61">'Div 6'!$D$68:$D$69</definedName>
    <definedName name="OSRRefD22_8x_0" localSheetId="2">Summary!$D$101</definedName>
    <definedName name="OSRRefD22_9x_0" localSheetId="41">'201'!$D$56</definedName>
    <definedName name="OSRRefD22_9x_0" localSheetId="42">'202'!$D$57</definedName>
    <definedName name="OSRRefD22_9x_0" localSheetId="43">'203'!$D$58:$D$59</definedName>
    <definedName name="OSRRefD22_9x_0" localSheetId="48">'300'!$D$91</definedName>
    <definedName name="OSRRefD22_9x_0" localSheetId="49">'300 &amp; 317'!$D$97</definedName>
    <definedName name="OSRRefD22_9x_0" localSheetId="50">'301'!$D$57</definedName>
    <definedName name="OSRRefD22_9x_0" localSheetId="52">'307'!$D$68</definedName>
    <definedName name="OSRRefD22_9x_0" localSheetId="53">'308'!$D$72</definedName>
    <definedName name="OSRRefD22_9x_0" localSheetId="64">'310'!$D$62</definedName>
    <definedName name="OSRRefD22_9x_0" localSheetId="71">'310 &amp; 491'!$D$64</definedName>
    <definedName name="OSRRefD22_9x_0" localSheetId="54">'311'!$D$72</definedName>
    <definedName name="OSRRefD22_9x_0" localSheetId="57">'315'!$D$79</definedName>
    <definedName name="OSRRefD22_9x_0" localSheetId="60">'316'!$D$66</definedName>
    <definedName name="OSRRefD22_9x_0" localSheetId="62">'317'!$D$71</definedName>
    <definedName name="OSRRefD22_9x_0" localSheetId="67">'321'!$D$60:$D$62</definedName>
    <definedName name="OSRRefD22_9x_0" localSheetId="68">'325'!$D$60</definedName>
    <definedName name="OSRRefD22_9x_0" localSheetId="58">'326'!$D$60</definedName>
    <definedName name="OSRRefD22_9x_0" localSheetId="51">'330'!$D$68</definedName>
    <definedName name="OSRRefD22_9x_0" localSheetId="56">'331'!$D$80</definedName>
    <definedName name="OSRRefD22_9x_0" localSheetId="59">'332'!$D$66</definedName>
    <definedName name="OSRRefD22_9x_0" localSheetId="73">'405'!$D$63:$D$64</definedName>
    <definedName name="OSRRefD22_9x_0" localSheetId="74">'411'!$D$58:$D$60</definedName>
    <definedName name="OSRRefD22_9x_0" localSheetId="77">'415'!$D$63</definedName>
    <definedName name="OSRRefD22_9x_0" localSheetId="78">'418'!$D$61:$D$64</definedName>
    <definedName name="OSRRefD22_9x_0" localSheetId="85">'433'!$D$63</definedName>
    <definedName name="OSRRefD22_9x_0" localSheetId="86">'444'!$D$63</definedName>
    <definedName name="OSRRefD22_9x_0" localSheetId="87">'450'!$D$62</definedName>
    <definedName name="OSRRefD22_9x_0" localSheetId="72">'491'!$D$63</definedName>
    <definedName name="OSRRefD22_9x_0" localSheetId="83">'492'!$D$63</definedName>
    <definedName name="OSRRefD22_9x_0" localSheetId="89">'501'!$D$56:$D$58</definedName>
    <definedName name="OSRRefD22_9x_0" localSheetId="39">'Div 2'!$D$58</definedName>
    <definedName name="OSRRefD22_9x_0" localSheetId="47">'Div 3'!$D$94</definedName>
    <definedName name="OSRRefD22_9x_0" localSheetId="70">'Div 4'!$D$66</definedName>
    <definedName name="OSRRefD22_9x_0" localSheetId="88">'Div 5'!$D$56:$D$58</definedName>
    <definedName name="OSRRefD22_9x_0" localSheetId="61">'Div 6'!$D$71</definedName>
    <definedName name="OSRRefD22_9x_0" localSheetId="2">Summary!$D$103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'201'!$D$20:$D$28,'201'!$D$30:$D$39,'201'!$D$41,'201'!$D$43,'201'!$D$45,'201'!$D$47,'201'!$D$49,'201'!$D$51,'201'!$D$53:$D$54,'201'!$D$56,'201'!$D$58:$D$59,'201'!$D$61</definedName>
    <definedName name="OSRRefD22x_0" localSheetId="42">'202'!$D$20:$D$28,'202'!$D$30:$D$39,'202'!$D$41,'202'!$D$43,'202'!$D$45,'202'!$D$47,'202'!$D$49:$D$51,'202'!$D$53,'202'!$D$55,'202'!$D$57,'202'!$D$59,'202'!$D$61</definedName>
    <definedName name="OSRRefD22x_0" localSheetId="43">'203'!$D$20:$D$29,'203'!$D$31:$D$40,'203'!$D$42,'203'!$D$44,'203'!$D$46,'203'!$D$48,'203'!$D$50,'203'!$D$52,'203'!$D$54:$D$56,'203'!$D$58:$D$59,'203'!$D$61,'203'!$D$63:$D$66,'203'!$D$68,'203'!$D$70</definedName>
    <definedName name="OSRRefD22x_0" localSheetId="44">'204'!$D$20:$D$28,'204'!$D$30:$D$39,'204'!$D$41,'204'!$D$43:$D$44,'204'!$D$46,'204'!$D$48:$D$51,'204'!$D$53,'204'!$D$55:$D$56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'206'!$D$20:$D$28,'206'!$D$30:$D$39,'206'!$D$41,'206'!$D$43,'206'!$D$45:$D$46,'206'!$D$48,'206'!$D$50:$D$51,'206'!$D$53</definedName>
    <definedName name="OSRRefD22x_0" localSheetId="48">'300'!$D$53:$D$62,'300'!$D$64:$D$73,'300'!$D$75,'300'!$D$77,'300'!$D$79,'300'!$D$81:$D$82,'300'!$D$84:$D$85,'300'!$D$87,'300'!$D$89,'300'!$D$91,'300'!$D$93:$D$94,'300'!$D$96:$D$97,'300'!$D$99,'300'!$D$101,'300'!$D$103,'300'!$D$105,'300'!$D$107:$D$110,'300'!$D$112:$D$115,'300'!$D$117:$D$119,'300'!$D$121:$D$122,'300'!$D$124:$D$129,'300'!$D$131:$D$132,'300'!$D$134:$D$136,'300'!$D$138</definedName>
    <definedName name="OSRRefD22x_0" localSheetId="49">'300 &amp; 317'!$D$59:$D$68,'300 &amp; 317'!$D$70:$D$79,'300 &amp; 317'!$D$81,'300 &amp; 317'!$D$83,'300 &amp; 317'!$D$85,'300 &amp; 317'!$D$87:$D$88,'300 &amp; 317'!$D$90:$D$91,'300 &amp; 317'!$D$93,'300 &amp; 317'!$D$95,'300 &amp; 317'!$D$97,'300 &amp; 317'!$D$99:$D$100,'300 &amp; 317'!$D$102:$D$103,'300 &amp; 317'!$D$105,'300 &amp; 317'!$D$107,'300 &amp; 317'!$D$109,'300 &amp; 317'!$D$111,'300 &amp; 317'!$D$113:$D$116,'300 &amp; 317'!$D$118:$D$121,'300 &amp; 317'!$D$123:$D$125,'300 &amp; 317'!$D$127:$D$128,'300 &amp; 317'!$D$130:$D$135,'300 &amp; 317'!$D$137:$D$138,'300 &amp; 317'!$D$140:$D$142,'300 &amp; 317'!$D$144</definedName>
    <definedName name="OSRRefD22x_0" localSheetId="50">'301'!$D$20:$D$29,'301'!$D$31:$D$40,'301'!$D$42,'301'!$D$44,'301'!$D$46,'301'!$D$48:$D$49,'301'!$D$51,'301'!$D$53,'301'!$D$55,'301'!$D$57,'301'!$D$59,'301'!$D$61,'301'!$D$63,'301'!$D$65,'301'!$D$67:$D$70,'301'!$D$72:$D$73,'301'!$D$75,'301'!$D$77:$D$81,'301'!$D$83,'301'!$D$85,'301'!$D$87</definedName>
    <definedName name="OSRRefD22x_0" localSheetId="52">'307'!$D$33:$D$40,'307'!$D$42:$D$51,'307'!$D$53,'307'!$D$55,'307'!$D$57,'307'!$D$59:$D$60,'307'!$D$62,'307'!$D$64,'307'!$D$66,'307'!$D$68,'307'!$D$70,'307'!$D$72:$D$74,'307'!$D$76</definedName>
    <definedName name="OSRRefD22x_0" localSheetId="53">'308'!$D$34:$D$43,'308'!$D$45:$D$54,'308'!$D$56,'308'!$D$58,'308'!$D$60,'308'!$D$62,'308'!$D$64,'308'!$D$66,'308'!$D$68:$D$70,'308'!$D$72,'308'!$D$74:$D$75,'308'!$D$77:$D$78</definedName>
    <definedName name="OSRRefD22x_0" localSheetId="65">'309'!$D$20,'309'!$D$22:$D$23,'309'!$D$25</definedName>
    <definedName name="OSRRefD22x_0" localSheetId="64">'310'!$D$26:$D$34,'310'!$D$36:$D$45,'310'!$D$47,'310'!$D$49,'310'!$D$51,'310'!$D$53:$D$54,'310'!$D$56,'310'!$D$58,'310'!$D$60,'310'!$D$62,'310'!$D$64:$D$65,'310'!$D$67,'310'!$D$69:$D$71,'310'!$D$73:$D$77,'310'!$D$79:$D$80,'310'!$D$82,'310'!$D$84</definedName>
    <definedName name="OSRRefD22x_0" localSheetId="71">'310 &amp; 491'!$D$28:$D$36,'310 &amp; 491'!$D$38:$D$47,'310 &amp; 491'!$D$49,'310 &amp; 491'!$D$51,'310 &amp; 491'!$D$53,'310 &amp; 491'!$D$55:$D$56,'310 &amp; 491'!$D$58,'310 &amp; 491'!$D$60,'310 &amp; 491'!$D$62,'310 &amp; 491'!$D$64,'310 &amp; 491'!$D$66,'310 &amp; 491'!$D$68,'310 &amp; 491'!$D$70:$D$72,'310 &amp; 491'!$D$74,'310 &amp; 491'!$D$76:$D$80,'310 &amp; 491'!$D$82,'310 &amp; 491'!$D$84:$D$93,'310 &amp; 491'!$D$95:$D$96,'310 &amp; 491'!$D$98,'310 &amp; 491'!$D$100</definedName>
    <definedName name="OSRRefD22x_0" localSheetId="54">'311'!$D$34:$D$43,'311'!$D$45:$D$54,'311'!$D$56,'311'!$D$58,'311'!$D$60,'311'!$D$62,'311'!$D$64,'311'!$D$66,'311'!$D$68:$D$70,'311'!$D$72,'311'!$D$74:$D$75,'311'!$D$77:$D$78</definedName>
    <definedName name="OSRRefD22x_0" localSheetId="66">'313'!$D$20,'313'!$D$22</definedName>
    <definedName name="OSRRefD22x_0" localSheetId="57">'315'!$D$43:$D$51,'315'!$D$53:$D$62,'315'!$D$64,'315'!$D$66,'315'!$D$68,'315'!$D$70,'315'!$D$72,'315'!$D$74:$D$75,'315'!$D$77,'315'!$D$79,'315'!$D$81,'315'!$D$83:$D$84,'315'!$D$86:$D$88,'315'!$D$90:$D$91,'315'!$D$93:$D$95,'315'!$D$97,'315'!$D$99</definedName>
    <definedName name="OSRRefD22x_0" localSheetId="60">'316'!$D$26:$D$34,'316'!$D$36:$D$45,'316'!$D$47,'316'!$D$49,'316'!$D$51,'316'!$D$53:$D$54,'316'!$D$56:$D$57,'316'!$D$59,'316'!$D$61:$D$64,'316'!$D$66</definedName>
    <definedName name="OSRRefD22x_0" localSheetId="62">'317'!$D$34:$D$43,'317'!$D$45:$D$54,'317'!$D$56,'317'!$D$58,'317'!$D$60,'317'!$D$62,'317'!$D$64,'317'!$D$66,'317'!$D$68:$D$69,'317'!$D$71</definedName>
    <definedName name="OSRRefD22x_0" localSheetId="67">'321'!$D$23:$D$31,'321'!$D$33:$D$42,'321'!$D$44,'321'!$D$46,'321'!$D$48,'321'!$D$50,'321'!$D$52:$D$53,'321'!$D$55,'321'!$D$57:$D$58,'321'!$D$60:$D$62,'321'!$D$64,'321'!$D$66</definedName>
    <definedName name="OSRRefD22x_0" localSheetId="68">'325'!$D$25:$D$32,'325'!$D$34:$D$43,'325'!$D$45,'325'!$D$47,'325'!$D$49,'325'!$D$51:$D$52,'325'!$D$54,'325'!$D$56,'325'!$D$58,'325'!$D$60,'325'!$D$62:$D$63,'325'!$D$65:$D$67,'325'!$D$69:$D$73,'325'!$D$75:$D$76,'325'!$D$78</definedName>
    <definedName name="OSRRefD22x_0" localSheetId="58">'326'!$D$25:$D$33,'326'!$D$35:$D$44,'326'!$D$46,'326'!$D$48,'326'!$D$50,'326'!$D$52,'326'!$D$54,'326'!$D$56,'326'!$D$58,'326'!$D$60,'326'!$D$62,'326'!$D$64:$D$65,'326'!$D$67:$D$68,'326'!$D$70:$D$71,'326'!$D$73:$D$75,'326'!$D$77,'326'!$D$79:$D$80,'326'!$D$82</definedName>
    <definedName name="OSRRefD22x_0" localSheetId="69">'327'!$D$24</definedName>
    <definedName name="OSRRefD22x_0" localSheetId="51">'330'!$D$33:$D$40,'330'!$D$42:$D$51,'330'!$D$53,'330'!$D$55,'330'!$D$57,'330'!$D$59:$D$60,'330'!$D$62,'330'!$D$64,'330'!$D$66,'330'!$D$68,'330'!$D$70,'330'!$D$72:$D$74,'330'!$D$76</definedName>
    <definedName name="OSRRefD22x_0" localSheetId="56">'331'!$D$43:$D$51,'331'!$D$53:$D$62,'331'!$D$64,'331'!$D$66,'331'!$D$68,'331'!$D$70,'331'!$D$72,'331'!$D$74:$D$75,'331'!$D$77:$D$78,'331'!$D$80,'331'!$D$82,'331'!$D$84,'331'!$D$86,'331'!$D$88:$D$89,'331'!$D$91:$D$93,'331'!$D$95:$D$96,'331'!$D$98:$D$99,'331'!$D$101:$D$104,'331'!$D$106,'331'!$D$108:$D$109,'331'!$D$111</definedName>
    <definedName name="OSRRefD22x_0" localSheetId="59">'332'!$D$26:$D$34,'332'!$D$36:$D$45,'332'!$D$47,'332'!$D$49,'332'!$D$51,'332'!$D$53:$D$54,'332'!$D$56:$D$57,'332'!$D$59,'332'!$D$61:$D$64,'332'!$D$66</definedName>
    <definedName name="OSRRefD22x_0" localSheetId="73">'405'!$D$27:$D$35,'405'!$D$37:$D$46,'405'!$D$48,'405'!$D$50,'405'!$D$52,'405'!$D$54:$D$55,'405'!$D$57,'405'!$D$59,'405'!$D$61,'405'!$D$63:$D$64,'405'!$D$66:$D$69,'405'!$D$71,'405'!$D$73:$D$80,'405'!$D$82,'405'!$D$84</definedName>
    <definedName name="OSRRefD22x_0" localSheetId="74">'411'!$D$20:$D$28,'411'!$D$30:$D$39,'411'!$D$41,'411'!$D$43:$D$44,'411'!$D$46,'411'!$D$48,'411'!$D$50,'411'!$D$52,'411'!$D$54:$D$56,'411'!$D$58:$D$60,'411'!$D$62,'411'!$D$64,'411'!$D$66,'411'!$D$68</definedName>
    <definedName name="OSRRefD22x_0" localSheetId="75">'412'!$D$20,'412'!$D$22,'412'!$D$24</definedName>
    <definedName name="OSRRefD22x_0" localSheetId="76">'413'!$D$20,'413'!$D$22</definedName>
    <definedName name="OSRRefD22x_0" localSheetId="77">'415'!$D$27:$D$35,'415'!$D$37:$D$46,'415'!$D$48,'415'!$D$50,'415'!$D$52,'415'!$D$54:$D$55,'415'!$D$57,'415'!$D$59,'415'!$D$61,'415'!$D$63,'415'!$D$65:$D$66,'415'!$D$68:$D$71,'415'!$D$73,'415'!$D$75:$D$80,'415'!$D$82:$D$83,'415'!$D$85,'415'!$D$87</definedName>
    <definedName name="OSRRefD22x_0" localSheetId="78">'418'!$D$24:$D$32,'418'!$D$34:$D$43,'418'!$D$45,'418'!$D$47,'418'!$D$49:$D$50,'418'!$D$52,'418'!$D$54,'418'!$D$56,'418'!$D$58:$D$59,'418'!$D$61:$D$64,'418'!$D$66,'418'!$D$68:$D$75,'418'!$D$77:$D$78,'418'!$D$80,'418'!$D$82</definedName>
    <definedName name="OSRRefD22x_0" localSheetId="79">'423'!$D$20:$D$27,'423'!$D$29:$D$38,'423'!$D$40,'423'!$D$42,'423'!$D$44,'423'!$D$46</definedName>
    <definedName name="OSRRefD22x_0" localSheetId="80">'424'!$D$20,'424'!$D$22</definedName>
    <definedName name="OSRRefD22x_0" localSheetId="81">'425'!$D$21,'425'!$D$23</definedName>
    <definedName name="OSRRefD22x_0" localSheetId="84">'430'!$D$20:$D$28,'430'!$D$30:$D$39,'430'!$D$41,'430'!$D$43,'430'!$D$45:$D$46,'430'!$D$48:$D$49,'430'!$D$51,'430'!$D$53</definedName>
    <definedName name="OSRRefD22x_0" localSheetId="85">'433'!$D$27:$D$36,'433'!$D$38:$D$47,'433'!$D$49,'433'!$D$51,'433'!$D$53,'433'!$D$55,'433'!$D$57,'433'!$D$59,'433'!$D$61,'433'!$D$63,'433'!$D$65:$D$67,'433'!$D$69:$D$72,'433'!$D$74:$D$79,'433'!$D$81</definedName>
    <definedName name="OSRRefD22x_0" localSheetId="86">'444'!$D$27:$D$36,'444'!$D$38:$D$47,'444'!$D$49,'444'!$D$51,'444'!$D$53,'444'!$D$55,'444'!$D$57,'444'!$D$59,'444'!$D$61,'444'!$D$63,'444'!$D$65,'444'!$D$67:$D$68,'444'!$D$70:$D$73,'444'!$D$75:$D$80,'444'!$D$82,'444'!$D$84</definedName>
    <definedName name="OSRRefD22x_0" localSheetId="87">'450'!$D$26:$D$35,'450'!$D$37:$D$46,'450'!$D$48,'450'!$D$50,'450'!$D$52,'450'!$D$54,'450'!$D$56,'450'!$D$58,'450'!$D$60,'450'!$D$62,'450'!$D$64,'450'!$D$66:$D$67,'450'!$D$69:$D$72,'450'!$D$74:$D$79,'450'!$D$81,'450'!$D$83</definedName>
    <definedName name="OSRRefD22x_0" localSheetId="72">'491'!$D$27:$D$35,'491'!$D$37:$D$46,'491'!$D$48,'491'!$D$50,'491'!$D$52,'491'!$D$54:$D$55,'491'!$D$57,'491'!$D$59,'491'!$D$61,'491'!$D$63,'491'!$D$65,'491'!$D$67,'491'!$D$69:$D$71,'491'!$D$73:$D$77,'491'!$D$79,'491'!$D$81:$D$89,'491'!$D$91:$D$92,'491'!$D$94,'491'!$D$96</definedName>
    <definedName name="OSRRefD22x_0" localSheetId="83">'492'!$D$27:$D$36,'492'!$D$38:$D$47,'492'!$D$49,'492'!$D$51,'492'!$D$53,'492'!$D$55,'492'!$D$57,'492'!$D$59,'492'!$D$61,'492'!$D$63,'492'!$D$65,'492'!$D$67,'492'!$D$69:$D$71,'492'!$D$73:$D$76,'492'!$D$78:$D$84,'492'!$D$86:$D$87,'492'!$D$89,'492'!$D$91</definedName>
    <definedName name="OSRRefD22x_0" localSheetId="89">'501'!$D$21:$D$29,'501'!$D$31:$D$40,'501'!$D$42,'501'!$D$44,'501'!$D$46,'501'!$D$48,'501'!$D$50,'501'!$D$52,'501'!$D$54,'501'!$D$56:$D$58,'501'!$D$60,'501'!$D$62:$D$63,'501'!$D$65</definedName>
    <definedName name="OSRRefD22x_0" localSheetId="39">'Div 2'!$D$20:$D$30,'Div 2'!$D$32:$D$41,'Div 2'!$D$43,'Div 2'!$D$45,'Div 2'!$D$47,'Div 2'!$D$49:$D$50,'Div 2'!$D$52,'Div 2'!$D$54,'Div 2'!$D$56,'Div 2'!$D$58,'Div 2'!$D$60,'Div 2'!$D$62,'Div 2'!$D$64:$D$67,'Div 2'!$D$69:$D$72,'Div 2'!$D$74:$D$75,'Div 2'!$D$77,'Div 2'!$D$79:$D$84,'Div 2'!$D$86:$D$87,'Div 2'!$D$89,'Div 2'!$D$91</definedName>
    <definedName name="OSRRefD22x_0" localSheetId="47">'Div 3'!$D$56:$D$65,'Div 3'!$D$67:$D$76,'Div 3'!$D$78,'Div 3'!$D$80,'Div 3'!$D$82,'Div 3'!$D$84:$D$85,'Div 3'!$D$87:$D$88,'Div 3'!$D$90,'Div 3'!$D$92,'Div 3'!$D$94,'Div 3'!$D$96:$D$97,'Div 3'!$D$99:$D$100,'Div 3'!$D$102,'Div 3'!$D$104,'Div 3'!$D$106,'Div 3'!$D$108,'Div 3'!$D$110,'Div 3'!$D$112:$D$115,'Div 3'!$D$117:$D$120,'Div 3'!$D$122:$D$125,'Div 3'!$D$127:$D$128,'Div 3'!$D$130:$D$136,'Div 3'!$D$138:$D$139,'Div 3'!$D$141,'Div 3'!$D$143:$D$145,'Div 3'!$D$147</definedName>
    <definedName name="OSRRefD22x_0" localSheetId="70">'Div 4'!$D$29:$D$38,'Div 4'!$D$40:$D$49,'Div 4'!$D$51,'Div 4'!$D$53,'Div 4'!$D$55,'Div 4'!$D$57:$D$58,'Div 4'!$D$60,'Div 4'!$D$62,'Div 4'!$D$64,'Div 4'!$D$66,'Div 4'!$D$68,'Div 4'!$D$70,'Div 4'!$D$72,'Div 4'!$D$74,'Div 4'!$D$76:$D$78,'Div 4'!$D$80:$D$84,'Div 4'!$D$86,'Div 4'!$D$88:$D$97,'Div 4'!$D$99:$D$100,'Div 4'!$D$102,'Div 4'!$D$104,'Div 4'!$D$106</definedName>
    <definedName name="OSRRefD22x_0" localSheetId="88">'Div 5'!$D$21:$D$29,'Div 5'!$D$31:$D$40,'Div 5'!$D$42,'Div 5'!$D$44,'Div 5'!$D$46,'Div 5'!$D$48,'Div 5'!$D$50,'Div 5'!$D$52,'Div 5'!$D$54,'Div 5'!$D$56:$D$58,'Div 5'!$D$60,'Div 5'!$D$62:$D$63,'Div 5'!$D$65</definedName>
    <definedName name="OSRRefD22x_0" localSheetId="61">'Div 6'!$D$34:$D$43,'Div 6'!$D$45:$D$54,'Div 6'!$D$56,'Div 6'!$D$58,'Div 6'!$D$60,'Div 6'!$D$62,'Div 6'!$D$64,'Div 6'!$D$66,'Div 6'!$D$68:$D$69,'Div 6'!$D$71</definedName>
    <definedName name="OSRRefD22x_0" localSheetId="2">Summary!$D$65:$D$74,Summary!$D$76:$D$85,Summary!$D$87,Summary!$D$89,Summary!$D$91,Summary!$D$93:$D$94,Summary!$D$96:$D$97,Summary!$D$99,Summary!$D$101,Summary!$D$103,Summary!$D$105:$D$106,Summary!$D$108:$D$109,Summary!$D$111,Summary!$D$113,Summary!$D$115,Summary!$D$117,Summary!$D$119,Summary!$D$121,Summary!$D$123:$D$126,Summary!$D$128:$D$131,Summary!$D$133:$D$137,Summary!$D$139:$D$140,Summary!$D$142:$D$151,Summary!$D$153:$D$154,Summary!$D$156,Summary!$D$158:$D$160,Summary!$D$162</definedName>
    <definedName name="OSRRefD25x_0" localSheetId="48">'300'!$D$141:$D$145</definedName>
    <definedName name="OSRRefD25x_0" localSheetId="49">'300 &amp; 317'!$D$147:$D$153</definedName>
    <definedName name="OSRRefD25x_0" localSheetId="50">'301'!$D$90:$D$91</definedName>
    <definedName name="OSRRefD25x_0" localSheetId="53">'308'!$D$81:$D$84</definedName>
    <definedName name="OSRRefD25x_0" localSheetId="71">'310 &amp; 491'!$D$103:$D$105</definedName>
    <definedName name="OSRRefD25x_0" localSheetId="54">'311'!$D$81:$D$84</definedName>
    <definedName name="OSRRefD25x_0" localSheetId="57">'315'!$D$102:$D$104</definedName>
    <definedName name="OSRRefD25x_0" localSheetId="60">'316'!$D$69</definedName>
    <definedName name="OSRRefD25x_0" localSheetId="62">'317'!$D$74:$D$76</definedName>
    <definedName name="OSRRefD25x_0" localSheetId="56">'331'!$D$114:$D$116</definedName>
    <definedName name="OSRRefD25x_0" localSheetId="59">'332'!$D$69</definedName>
    <definedName name="OSRRefD25x_0" localSheetId="74">'411'!$D$71</definedName>
    <definedName name="OSRRefD25x_0" localSheetId="77">'415'!$D$90</definedName>
    <definedName name="OSRRefD25x_0" localSheetId="82">'455'!$D$21:$D$22</definedName>
    <definedName name="OSRRefD25x_0" localSheetId="72">'491'!$D$99:$D$101</definedName>
    <definedName name="OSRRefD25x_0" localSheetId="89">'501'!$D$68</definedName>
    <definedName name="OSRRefD25x_0" localSheetId="47">'Div 3'!$D$150:$D$154</definedName>
    <definedName name="OSRRefD25x_0" localSheetId="70">'Div 4'!$D$109:$D$111</definedName>
    <definedName name="OSRRefD25x_0" localSheetId="88">'Div 5'!$D$68</definedName>
    <definedName name="OSRRefD25x_0" localSheetId="61">'Div 6'!$D$74:$D$76</definedName>
    <definedName name="OSRRefD25x_0" localSheetId="2">Summary!$D$165:$D$172</definedName>
    <definedName name="OSRRefH13x_0" localSheetId="48">'300'!$H$13:$H$18</definedName>
    <definedName name="OSRRefH13x_0" localSheetId="49">'300 &amp; 317'!$H$13:$H$18</definedName>
    <definedName name="OSRRefH13x_0" localSheetId="52">'307'!$H$13:$H$15</definedName>
    <definedName name="OSRRefH13x_0" localSheetId="53">'308'!$H$13:$H$16</definedName>
    <definedName name="OSRRefH13x_0" localSheetId="64">'310'!$H$13:$H$15</definedName>
    <definedName name="OSRRefH13x_0" localSheetId="71">'310 &amp; 491'!$H$13:$H$17</definedName>
    <definedName name="OSRRefH13x_0" localSheetId="54">'311'!$H$13:$H$16</definedName>
    <definedName name="OSRRefH13x_0" localSheetId="57">'315'!$H$13:$H$16</definedName>
    <definedName name="OSRRefH13x_0" localSheetId="60">'316'!$H$13:$H$17</definedName>
    <definedName name="OSRRefH13x_0" localSheetId="62">'317'!$H$13:$H$16</definedName>
    <definedName name="OSRRefH13x_0" localSheetId="67">'321'!$H$13:$H$14</definedName>
    <definedName name="OSRRefH13x_0" localSheetId="55">'324'!$H$13:$H$14</definedName>
    <definedName name="OSRRefH13x_0" localSheetId="68">'325'!$H$13:$H$14</definedName>
    <definedName name="OSRRefH13x_0" localSheetId="58">'326'!$H$13:$H$15</definedName>
    <definedName name="OSRRefH13x_0" localSheetId="69">'327'!$H$13:$H$14</definedName>
    <definedName name="OSRRefH13x_0" localSheetId="51">'330'!$H$13:$H$15</definedName>
    <definedName name="OSRRefH13x_0" localSheetId="56">'331'!$H$13:$H$16</definedName>
    <definedName name="OSRRefH13x_0" localSheetId="59">'332'!$H$13:$H$17</definedName>
    <definedName name="OSRRefH13x_0" localSheetId="73">'405'!$H$13:$H$16</definedName>
    <definedName name="OSRRefH13x_0" localSheetId="77">'415'!$H$13:$H$16</definedName>
    <definedName name="OSRRefH13x_0" localSheetId="78">'418'!$H$13:$H$14</definedName>
    <definedName name="OSRRefH13x_0" localSheetId="85">'433'!$H$13:$H$16</definedName>
    <definedName name="OSRRefH13x_0" localSheetId="86">'444'!$H$13:$H$16</definedName>
    <definedName name="OSRRefH13x_0" localSheetId="87">'450'!$H$13:$H$15</definedName>
    <definedName name="OSRRefH13x_0" localSheetId="72">'491'!$H$13:$H$16</definedName>
    <definedName name="OSRRefH13x_0" localSheetId="83">'492'!$H$13:$H$16</definedName>
    <definedName name="OSRRefH13x_0" localSheetId="89">'501'!$H$13</definedName>
    <definedName name="OSRRefH13x_0" localSheetId="47">'Div 3'!$H$13:$H$19</definedName>
    <definedName name="OSRRefH13x_0" localSheetId="70">'Div 4'!$H$13:$H$18</definedName>
    <definedName name="OSRRefH13x_0" localSheetId="88">'Div 5'!$H$13</definedName>
    <definedName name="OSRRefH13x_0" localSheetId="61">'Div 6'!$H$13:$H$16</definedName>
    <definedName name="OSRRefH13x_0" localSheetId="2">Summary!$H$13:$H$22</definedName>
    <definedName name="OSRRefH16x_0" localSheetId="48">'300'!$H$21:$H$47</definedName>
    <definedName name="OSRRefH16x_0" localSheetId="49">'300 &amp; 317'!$H$21:$H$53</definedName>
    <definedName name="OSRRefH16x_0" localSheetId="52">'307'!$H$18:$H$27</definedName>
    <definedName name="OSRRefH16x_0" localSheetId="53">'308'!$H$19:$H$28</definedName>
    <definedName name="OSRRefH16x_0" localSheetId="64">'310'!$H$18:$H$20</definedName>
    <definedName name="OSRRefH16x_0" localSheetId="71">'310 &amp; 491'!$H$20:$H$22</definedName>
    <definedName name="OSRRefH16x_0" localSheetId="54">'311'!$H$19:$H$28</definedName>
    <definedName name="OSRRefH16x_0" localSheetId="57">'315'!$H$19:$H$37</definedName>
    <definedName name="OSRRefH16x_0" localSheetId="60">'316'!$H$20</definedName>
    <definedName name="OSRRefH16x_0" localSheetId="62">'317'!$H$19:$H$28</definedName>
    <definedName name="OSRRefH16x_0" localSheetId="67">'321'!$H$17</definedName>
    <definedName name="OSRRefH16x_0" localSheetId="55">'324'!$H$17</definedName>
    <definedName name="OSRRefH16x_0" localSheetId="68">'325'!$H$17:$H$19</definedName>
    <definedName name="OSRRefH16x_0" localSheetId="58">'326'!$H$18:$H$19</definedName>
    <definedName name="OSRRefH16x_0" localSheetId="69">'327'!$H$17:$H$18</definedName>
    <definedName name="OSRRefH16x_0" localSheetId="51">'330'!$H$18:$H$27</definedName>
    <definedName name="OSRRefH16x_0" localSheetId="56">'331'!$H$19:$H$37</definedName>
    <definedName name="OSRRefH16x_0" localSheetId="59">'332'!$H$20</definedName>
    <definedName name="OSRRefH16x_0" localSheetId="73">'405'!$H$19:$H$21</definedName>
    <definedName name="OSRRefH16x_0" localSheetId="77">'415'!$H$19:$H$21</definedName>
    <definedName name="OSRRefH16x_0" localSheetId="78">'418'!$H$17:$H$18</definedName>
    <definedName name="OSRRefH16x_0" localSheetId="81">'425'!$H$15</definedName>
    <definedName name="OSRRefH16x_0" localSheetId="85">'433'!$H$19:$H$21</definedName>
    <definedName name="OSRRefH16x_0" localSheetId="86">'444'!$H$19:$H$21</definedName>
    <definedName name="OSRRefH16x_0" localSheetId="87">'450'!$H$18:$H$20</definedName>
    <definedName name="OSRRefH16x_0" localSheetId="72">'491'!$H$19:$H$21</definedName>
    <definedName name="OSRRefH16x_0" localSheetId="83">'492'!$H$19:$H$21</definedName>
    <definedName name="OSRRefH16x_0" localSheetId="47">'Div 3'!$H$22:$H$50</definedName>
    <definedName name="OSRRefH16x_0" localSheetId="70">'Div 4'!$H$21:$H$23</definedName>
    <definedName name="OSRRefH16x_0" localSheetId="61">'Div 6'!$H$19:$H$28</definedName>
    <definedName name="OSRRefH16x_0" localSheetId="2">Summary!$H$25:$H$59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'204'!$H$20:$H$28</definedName>
    <definedName name="OSRRefH22_0x_0" localSheetId="45">'205'!$H$20:$H$28</definedName>
    <definedName name="OSRRefH22_0x_0" localSheetId="46">'206'!$H$20:$H$28</definedName>
    <definedName name="OSRRefH22_0x_0" localSheetId="48">'300'!$H$53:$H$62</definedName>
    <definedName name="OSRRefH22_0x_0" localSheetId="49">'300 &amp; 317'!$H$59:$H$68</definedName>
    <definedName name="OSRRefH22_0x_0" localSheetId="50">'301'!$H$20:$H$29</definedName>
    <definedName name="OSRRefH22_0x_0" localSheetId="52">'307'!$H$33:$H$40</definedName>
    <definedName name="OSRRefH22_0x_0" localSheetId="53">'308'!$H$34:$H$43</definedName>
    <definedName name="OSRRefH22_0x_0" localSheetId="65">'309'!$H$20</definedName>
    <definedName name="OSRRefH22_0x_0" localSheetId="64">'310'!$H$26:$H$34</definedName>
    <definedName name="OSRRefH22_0x_0" localSheetId="71">'310 &amp; 491'!$H$28:$H$36</definedName>
    <definedName name="OSRRefH22_0x_0" localSheetId="54">'311'!$H$34:$H$43</definedName>
    <definedName name="OSRRefH22_0x_0" localSheetId="66">'313'!$H$20</definedName>
    <definedName name="OSRRefH22_0x_0" localSheetId="57">'315'!$H$43:$H$51</definedName>
    <definedName name="OSRRefH22_0x_0" localSheetId="60">'316'!$H$26:$H$34</definedName>
    <definedName name="OSRRefH22_0x_0" localSheetId="62">'317'!$H$34:$H$43</definedName>
    <definedName name="OSRRefH22_0x_0" localSheetId="67">'321'!$H$23:$H$31</definedName>
    <definedName name="OSRRefH22_0x_0" localSheetId="68">'325'!$H$25:$H$32</definedName>
    <definedName name="OSRRefH22_0x_0" localSheetId="58">'326'!$H$25:$H$33</definedName>
    <definedName name="OSRRefH22_0x_0" localSheetId="69">'327'!$H$24</definedName>
    <definedName name="OSRRefH22_0x_0" localSheetId="51">'330'!$H$33:$H$40</definedName>
    <definedName name="OSRRefH22_0x_0" localSheetId="56">'331'!$H$43:$H$51</definedName>
    <definedName name="OSRRefH22_0x_0" localSheetId="59">'332'!$H$26:$H$34</definedName>
    <definedName name="OSRRefH22_0x_0" localSheetId="73">'405'!$H$27:$H$35</definedName>
    <definedName name="OSRRefH22_0x_0" localSheetId="74">'411'!$H$20:$H$28</definedName>
    <definedName name="OSRRefH22_0x_0" localSheetId="75">'412'!$H$20</definedName>
    <definedName name="OSRRefH22_0x_0" localSheetId="76">'413'!$H$20</definedName>
    <definedName name="OSRRefH22_0x_0" localSheetId="77">'415'!$H$27:$H$35</definedName>
    <definedName name="OSRRefH22_0x_0" localSheetId="78">'418'!$H$24:$H$32</definedName>
    <definedName name="OSRRefH22_0x_0" localSheetId="79">'423'!$H$20:$H$27</definedName>
    <definedName name="OSRRefH22_0x_0" localSheetId="80">'424'!$H$20</definedName>
    <definedName name="OSRRefH22_0x_0" localSheetId="81">'425'!$H$21</definedName>
    <definedName name="OSRRefH22_0x_0" localSheetId="84">'430'!$H$20:$H$28</definedName>
    <definedName name="OSRRefH22_0x_0" localSheetId="85">'433'!$H$27:$H$36</definedName>
    <definedName name="OSRRefH22_0x_0" localSheetId="86">'444'!$H$27:$H$36</definedName>
    <definedName name="OSRRefH22_0x_0" localSheetId="87">'450'!$H$26:$H$35</definedName>
    <definedName name="OSRRefH22_0x_0" localSheetId="72">'491'!$H$27:$H$35</definedName>
    <definedName name="OSRRefH22_0x_0" localSheetId="83">'492'!$H$27:$H$36</definedName>
    <definedName name="OSRRefH22_0x_0" localSheetId="89">'501'!$H$21:$H$29</definedName>
    <definedName name="OSRRefH22_0x_0" localSheetId="39">'Div 2'!$H$20:$H$30</definedName>
    <definedName name="OSRRefH22_0x_0" localSheetId="47">'Div 3'!$H$56:$H$65</definedName>
    <definedName name="OSRRefH22_0x_0" localSheetId="70">'Div 4'!$H$29:$H$38</definedName>
    <definedName name="OSRRefH22_0x_0" localSheetId="88">'Div 5'!$H$21:$H$29</definedName>
    <definedName name="OSRRefH22_0x_0" localSheetId="61">'Div 6'!$H$34:$H$43</definedName>
    <definedName name="OSRRefH22_0x_0" localSheetId="2">Summary!$H$65:$H$74</definedName>
    <definedName name="OSRRefH22_10x_0" localSheetId="41">'201'!$H$58:$H$59</definedName>
    <definedName name="OSRRefH22_10x_0" localSheetId="42">'202'!$H$59</definedName>
    <definedName name="OSRRefH22_10x_0" localSheetId="43">'203'!$H$61</definedName>
    <definedName name="OSRRefH22_10x_0" localSheetId="48">'300'!$H$93:$H$94</definedName>
    <definedName name="OSRRefH22_10x_0" localSheetId="49">'300 &amp; 317'!$H$99:$H$100</definedName>
    <definedName name="OSRRefH22_10x_0" localSheetId="50">'301'!$H$59</definedName>
    <definedName name="OSRRefH22_10x_0" localSheetId="52">'307'!$H$70</definedName>
    <definedName name="OSRRefH22_10x_0" localSheetId="53">'308'!$H$74:$H$75</definedName>
    <definedName name="OSRRefH22_10x_0" localSheetId="64">'310'!$H$64:$H$65</definedName>
    <definedName name="OSRRefH22_10x_0" localSheetId="71">'310 &amp; 491'!$H$66</definedName>
    <definedName name="OSRRefH22_10x_0" localSheetId="54">'311'!$H$74:$H$75</definedName>
    <definedName name="OSRRefH22_10x_0" localSheetId="57">'315'!$H$81</definedName>
    <definedName name="OSRRefH22_10x_0" localSheetId="67">'321'!$H$64</definedName>
    <definedName name="OSRRefH22_10x_0" localSheetId="68">'325'!$H$62:$H$63</definedName>
    <definedName name="OSRRefH22_10x_0" localSheetId="58">'326'!$H$62</definedName>
    <definedName name="OSRRefH22_10x_0" localSheetId="51">'330'!$H$70</definedName>
    <definedName name="OSRRefH22_10x_0" localSheetId="56">'331'!$H$82</definedName>
    <definedName name="OSRRefH22_10x_0" localSheetId="73">'405'!$H$66:$H$69</definedName>
    <definedName name="OSRRefH22_10x_0" localSheetId="74">'411'!$H$62</definedName>
    <definedName name="OSRRefH22_10x_0" localSheetId="77">'415'!$H$65:$H$66</definedName>
    <definedName name="OSRRefH22_10x_0" localSheetId="78">'418'!$H$66</definedName>
    <definedName name="OSRRefH22_10x_0" localSheetId="85">'433'!$H$65:$H$67</definedName>
    <definedName name="OSRRefH22_10x_0" localSheetId="86">'444'!$H$65</definedName>
    <definedName name="OSRRefH22_10x_0" localSheetId="87">'450'!$H$64</definedName>
    <definedName name="OSRRefH22_10x_0" localSheetId="72">'491'!$H$65</definedName>
    <definedName name="OSRRefH22_10x_0" localSheetId="83">'492'!$H$65</definedName>
    <definedName name="OSRRefH22_10x_0" localSheetId="89">'501'!$H$60</definedName>
    <definedName name="OSRRefH22_10x_0" localSheetId="39">'Div 2'!$H$60</definedName>
    <definedName name="OSRRefH22_10x_0" localSheetId="47">'Div 3'!$H$96:$H$97</definedName>
    <definedName name="OSRRefH22_10x_0" localSheetId="70">'Div 4'!$H$68</definedName>
    <definedName name="OSRRefH22_10x_0" localSheetId="88">'Div 5'!$H$60</definedName>
    <definedName name="OSRRefH22_10x_0" localSheetId="2">Summary!$H$105:$H$106</definedName>
    <definedName name="OSRRefH22_11x_0" localSheetId="41">'201'!$H$61</definedName>
    <definedName name="OSRRefH22_11x_0" localSheetId="42">'202'!$H$61</definedName>
    <definedName name="OSRRefH22_11x_0" localSheetId="43">'203'!$H$63:$H$66</definedName>
    <definedName name="OSRRefH22_11x_0" localSheetId="48">'300'!$H$96:$H$97</definedName>
    <definedName name="OSRRefH22_11x_0" localSheetId="49">'300 &amp; 317'!$H$102:$H$103</definedName>
    <definedName name="OSRRefH22_11x_0" localSheetId="50">'301'!$H$61</definedName>
    <definedName name="OSRRefH22_11x_0" localSheetId="52">'307'!$H$72:$H$74</definedName>
    <definedName name="OSRRefH22_11x_0" localSheetId="53">'308'!$H$77:$H$78</definedName>
    <definedName name="OSRRefH22_11x_0" localSheetId="64">'310'!$H$67</definedName>
    <definedName name="OSRRefH22_11x_0" localSheetId="71">'310 &amp; 491'!$H$68</definedName>
    <definedName name="OSRRefH22_11x_0" localSheetId="54">'311'!$H$77:$H$78</definedName>
    <definedName name="OSRRefH22_11x_0" localSheetId="57">'315'!$H$83:$H$84</definedName>
    <definedName name="OSRRefH22_11x_0" localSheetId="67">'321'!$H$66</definedName>
    <definedName name="OSRRefH22_11x_0" localSheetId="68">'325'!$H$65:$H$67</definedName>
    <definedName name="OSRRefH22_11x_0" localSheetId="58">'326'!$H$64:$H$65</definedName>
    <definedName name="OSRRefH22_11x_0" localSheetId="51">'330'!$H$72:$H$74</definedName>
    <definedName name="OSRRefH22_11x_0" localSheetId="56">'331'!$H$84</definedName>
    <definedName name="OSRRefH22_11x_0" localSheetId="73">'405'!$H$71</definedName>
    <definedName name="OSRRefH22_11x_0" localSheetId="74">'411'!$H$64</definedName>
    <definedName name="OSRRefH22_11x_0" localSheetId="77">'415'!$H$68:$H$71</definedName>
    <definedName name="OSRRefH22_11x_0" localSheetId="78">'418'!$H$68:$H$75</definedName>
    <definedName name="OSRRefH22_11x_0" localSheetId="85">'433'!$H$69:$H$72</definedName>
    <definedName name="OSRRefH22_11x_0" localSheetId="86">'444'!$H$67:$H$68</definedName>
    <definedName name="OSRRefH22_11x_0" localSheetId="87">'450'!$H$66:$H$67</definedName>
    <definedName name="OSRRefH22_11x_0" localSheetId="72">'491'!$H$67</definedName>
    <definedName name="OSRRefH22_11x_0" localSheetId="83">'492'!$H$67</definedName>
    <definedName name="OSRRefH22_11x_0" localSheetId="89">'501'!$H$62:$H$63</definedName>
    <definedName name="OSRRefH22_11x_0" localSheetId="39">'Div 2'!$H$62</definedName>
    <definedName name="OSRRefH22_11x_0" localSheetId="47">'Div 3'!$H$99:$H$100</definedName>
    <definedName name="OSRRefH22_11x_0" localSheetId="70">'Div 4'!$H$70</definedName>
    <definedName name="OSRRefH22_11x_0" localSheetId="88">'Div 5'!$H$62:$H$63</definedName>
    <definedName name="OSRRefH22_11x_0" localSheetId="2">Summary!$H$108:$H$109</definedName>
    <definedName name="OSRRefH22_12x_0" localSheetId="43">'203'!$H$68</definedName>
    <definedName name="OSRRefH22_12x_0" localSheetId="48">'300'!$H$99</definedName>
    <definedName name="OSRRefH22_12x_0" localSheetId="49">'300 &amp; 317'!$H$105</definedName>
    <definedName name="OSRRefH22_12x_0" localSheetId="50">'301'!$H$63</definedName>
    <definedName name="OSRRefH22_12x_0" localSheetId="52">'307'!$H$76</definedName>
    <definedName name="OSRRefH22_12x_0" localSheetId="64">'310'!$H$69:$H$71</definedName>
    <definedName name="OSRRefH22_12x_0" localSheetId="71">'310 &amp; 491'!$H$70:$H$72</definedName>
    <definedName name="OSRRefH22_12x_0" localSheetId="57">'315'!$H$86:$H$88</definedName>
    <definedName name="OSRRefH22_12x_0" localSheetId="68">'325'!$H$69:$H$73</definedName>
    <definedName name="OSRRefH22_12x_0" localSheetId="58">'326'!$H$67:$H$68</definedName>
    <definedName name="OSRRefH22_12x_0" localSheetId="51">'330'!$H$76</definedName>
    <definedName name="OSRRefH22_12x_0" localSheetId="56">'331'!$H$86</definedName>
    <definedName name="OSRRefH22_12x_0" localSheetId="73">'405'!$H$73:$H$80</definedName>
    <definedName name="OSRRefH22_12x_0" localSheetId="74">'411'!$H$66</definedName>
    <definedName name="OSRRefH22_12x_0" localSheetId="77">'415'!$H$73</definedName>
    <definedName name="OSRRefH22_12x_0" localSheetId="78">'418'!$H$77:$H$78</definedName>
    <definedName name="OSRRefH22_12x_0" localSheetId="85">'433'!$H$74:$H$79</definedName>
    <definedName name="OSRRefH22_12x_0" localSheetId="86">'444'!$H$70:$H$73</definedName>
    <definedName name="OSRRefH22_12x_0" localSheetId="87">'450'!$H$69:$H$72</definedName>
    <definedName name="OSRRefH22_12x_0" localSheetId="72">'491'!$H$69:$H$71</definedName>
    <definedName name="OSRRefH22_12x_0" localSheetId="83">'492'!$H$69:$H$71</definedName>
    <definedName name="OSRRefH22_12x_0" localSheetId="89">'501'!$H$65</definedName>
    <definedName name="OSRRefH22_12x_0" localSheetId="39">'Div 2'!$H$64:$H$67</definedName>
    <definedName name="OSRRefH22_12x_0" localSheetId="47">'Div 3'!$H$102</definedName>
    <definedName name="OSRRefH22_12x_0" localSheetId="70">'Div 4'!$H$72</definedName>
    <definedName name="OSRRefH22_12x_0" localSheetId="88">'Div 5'!$H$65</definedName>
    <definedName name="OSRRefH22_12x_0" localSheetId="2">Summary!$H$111</definedName>
    <definedName name="OSRRefH22_13x_0" localSheetId="43">'203'!$H$70</definedName>
    <definedName name="OSRRefH22_13x_0" localSheetId="48">'300'!$H$101</definedName>
    <definedName name="OSRRefH22_13x_0" localSheetId="49">'300 &amp; 317'!$H$107</definedName>
    <definedName name="OSRRefH22_13x_0" localSheetId="50">'301'!$H$65</definedName>
    <definedName name="OSRRefH22_13x_0" localSheetId="64">'310'!$H$73:$H$77</definedName>
    <definedName name="OSRRefH22_13x_0" localSheetId="71">'310 &amp; 491'!$H$74</definedName>
    <definedName name="OSRRefH22_13x_0" localSheetId="57">'315'!$H$90:$H$91</definedName>
    <definedName name="OSRRefH22_13x_0" localSheetId="68">'325'!$H$75:$H$76</definedName>
    <definedName name="OSRRefH22_13x_0" localSheetId="58">'326'!$H$70:$H$71</definedName>
    <definedName name="OSRRefH22_13x_0" localSheetId="56">'331'!$H$88:$H$89</definedName>
    <definedName name="OSRRefH22_13x_0" localSheetId="73">'405'!$H$82</definedName>
    <definedName name="OSRRefH22_13x_0" localSheetId="74">'411'!$H$68</definedName>
    <definedName name="OSRRefH22_13x_0" localSheetId="77">'415'!$H$75:$H$80</definedName>
    <definedName name="OSRRefH22_13x_0" localSheetId="78">'418'!$H$80</definedName>
    <definedName name="OSRRefH22_13x_0" localSheetId="85">'433'!$H$81</definedName>
    <definedName name="OSRRefH22_13x_0" localSheetId="86">'444'!$H$75:$H$80</definedName>
    <definedName name="OSRRefH22_13x_0" localSheetId="87">'450'!$H$74:$H$79</definedName>
    <definedName name="OSRRefH22_13x_0" localSheetId="72">'491'!$H$73:$H$77</definedName>
    <definedName name="OSRRefH22_13x_0" localSheetId="83">'492'!$H$73:$H$76</definedName>
    <definedName name="OSRRefH22_13x_0" localSheetId="39">'Div 2'!$H$69:$H$72</definedName>
    <definedName name="OSRRefH22_13x_0" localSheetId="47">'Div 3'!$H$104</definedName>
    <definedName name="OSRRefH22_13x_0" localSheetId="70">'Div 4'!$H$74</definedName>
    <definedName name="OSRRefH22_13x_0" localSheetId="2">Summary!$H$113</definedName>
    <definedName name="OSRRefH22_14x_0" localSheetId="48">'300'!$H$103</definedName>
    <definedName name="OSRRefH22_14x_0" localSheetId="49">'300 &amp; 317'!$H$109</definedName>
    <definedName name="OSRRefH22_14x_0" localSheetId="50">'301'!$H$67:$H$70</definedName>
    <definedName name="OSRRefH22_14x_0" localSheetId="64">'310'!$H$79:$H$80</definedName>
    <definedName name="OSRRefH22_14x_0" localSheetId="71">'310 &amp; 491'!$H$76:$H$80</definedName>
    <definedName name="OSRRefH22_14x_0" localSheetId="57">'315'!$H$93:$H$95</definedName>
    <definedName name="OSRRefH22_14x_0" localSheetId="68">'325'!$H$78</definedName>
    <definedName name="OSRRefH22_14x_0" localSheetId="58">'326'!$H$73:$H$75</definedName>
    <definedName name="OSRRefH22_14x_0" localSheetId="56">'331'!$H$91:$H$93</definedName>
    <definedName name="OSRRefH22_14x_0" localSheetId="73">'405'!$H$84</definedName>
    <definedName name="OSRRefH22_14x_0" localSheetId="77">'415'!$H$82:$H$83</definedName>
    <definedName name="OSRRefH22_14x_0" localSheetId="78">'418'!$H$82</definedName>
    <definedName name="OSRRefH22_14x_0" localSheetId="86">'444'!$H$82</definedName>
    <definedName name="OSRRefH22_14x_0" localSheetId="87">'450'!$H$81</definedName>
    <definedName name="OSRRefH22_14x_0" localSheetId="72">'491'!$H$79</definedName>
    <definedName name="OSRRefH22_14x_0" localSheetId="83">'492'!$H$78:$H$84</definedName>
    <definedName name="OSRRefH22_14x_0" localSheetId="39">'Div 2'!$H$74:$H$75</definedName>
    <definedName name="OSRRefH22_14x_0" localSheetId="47">'Div 3'!$H$106</definedName>
    <definedName name="OSRRefH22_14x_0" localSheetId="70">'Div 4'!$H$76:$H$78</definedName>
    <definedName name="OSRRefH22_14x_0" localSheetId="2">Summary!$H$115</definedName>
    <definedName name="OSRRefH22_15x_0" localSheetId="48">'300'!$H$105</definedName>
    <definedName name="OSRRefH22_15x_0" localSheetId="49">'300 &amp; 317'!$H$111</definedName>
    <definedName name="OSRRefH22_15x_0" localSheetId="50">'301'!$H$72:$H$73</definedName>
    <definedName name="OSRRefH22_15x_0" localSheetId="64">'310'!$H$82</definedName>
    <definedName name="OSRRefH22_15x_0" localSheetId="71">'310 &amp; 491'!$H$82</definedName>
    <definedName name="OSRRefH22_15x_0" localSheetId="57">'315'!$H$97</definedName>
    <definedName name="OSRRefH22_15x_0" localSheetId="58">'326'!$H$77</definedName>
    <definedName name="OSRRefH22_15x_0" localSheetId="56">'331'!$H$95:$H$96</definedName>
    <definedName name="OSRRefH22_15x_0" localSheetId="77">'415'!$H$85</definedName>
    <definedName name="OSRRefH22_15x_0" localSheetId="86">'444'!$H$84</definedName>
    <definedName name="OSRRefH22_15x_0" localSheetId="87">'450'!$H$83</definedName>
    <definedName name="OSRRefH22_15x_0" localSheetId="72">'491'!$H$81:$H$89</definedName>
    <definedName name="OSRRefH22_15x_0" localSheetId="83">'492'!$H$86:$H$87</definedName>
    <definedName name="OSRRefH22_15x_0" localSheetId="39">'Div 2'!$H$77</definedName>
    <definedName name="OSRRefH22_15x_0" localSheetId="47">'Div 3'!$H$108</definedName>
    <definedName name="OSRRefH22_15x_0" localSheetId="70">'Div 4'!$H$80:$H$84</definedName>
    <definedName name="OSRRefH22_15x_0" localSheetId="2">Summary!$H$117</definedName>
    <definedName name="OSRRefH22_16x_0" localSheetId="48">'300'!$H$107:$H$110</definedName>
    <definedName name="OSRRefH22_16x_0" localSheetId="49">'300 &amp; 317'!$H$113:$H$116</definedName>
    <definedName name="OSRRefH22_16x_0" localSheetId="50">'301'!$H$75</definedName>
    <definedName name="OSRRefH22_16x_0" localSheetId="64">'310'!$H$84</definedName>
    <definedName name="OSRRefH22_16x_0" localSheetId="71">'310 &amp; 491'!$H$84:$H$93</definedName>
    <definedName name="OSRRefH22_16x_0" localSheetId="57">'315'!$H$99</definedName>
    <definedName name="OSRRefH22_16x_0" localSheetId="58">'326'!$H$79:$H$80</definedName>
    <definedName name="OSRRefH22_16x_0" localSheetId="56">'331'!$H$98:$H$99</definedName>
    <definedName name="OSRRefH22_16x_0" localSheetId="77">'415'!$H$87</definedName>
    <definedName name="OSRRefH22_16x_0" localSheetId="72">'491'!$H$91:$H$92</definedName>
    <definedName name="OSRRefH22_16x_0" localSheetId="83">'492'!$H$89</definedName>
    <definedName name="OSRRefH22_16x_0" localSheetId="39">'Div 2'!$H$79:$H$84</definedName>
    <definedName name="OSRRefH22_16x_0" localSheetId="47">'Div 3'!$H$110</definedName>
    <definedName name="OSRRefH22_16x_0" localSheetId="70">'Div 4'!$H$86</definedName>
    <definedName name="OSRRefH22_16x_0" localSheetId="2">Summary!$H$119</definedName>
    <definedName name="OSRRefH22_17x_0" localSheetId="48">'300'!$H$112:$H$115</definedName>
    <definedName name="OSRRefH22_17x_0" localSheetId="49">'300 &amp; 317'!$H$118:$H$121</definedName>
    <definedName name="OSRRefH22_17x_0" localSheetId="50">'301'!$H$77:$H$81</definedName>
    <definedName name="OSRRefH22_17x_0" localSheetId="71">'310 &amp; 491'!$H$95:$H$96</definedName>
    <definedName name="OSRRefH22_17x_0" localSheetId="58">'326'!$H$82</definedName>
    <definedName name="OSRRefH22_17x_0" localSheetId="56">'331'!$H$101:$H$104</definedName>
    <definedName name="OSRRefH22_17x_0" localSheetId="72">'491'!$H$94</definedName>
    <definedName name="OSRRefH22_17x_0" localSheetId="83">'492'!$H$91</definedName>
    <definedName name="OSRRefH22_17x_0" localSheetId="39">'Div 2'!$H$86:$H$87</definedName>
    <definedName name="OSRRefH22_17x_0" localSheetId="47">'Div 3'!$H$112:$H$115</definedName>
    <definedName name="OSRRefH22_17x_0" localSheetId="70">'Div 4'!$H$88:$H$97</definedName>
    <definedName name="OSRRefH22_17x_0" localSheetId="2">Summary!$H$121</definedName>
    <definedName name="OSRRefH22_18x_0" localSheetId="48">'300'!$H$117:$H$119</definedName>
    <definedName name="OSRRefH22_18x_0" localSheetId="49">'300 &amp; 317'!$H$123:$H$125</definedName>
    <definedName name="OSRRefH22_18x_0" localSheetId="50">'301'!$H$83</definedName>
    <definedName name="OSRRefH22_18x_0" localSheetId="71">'310 &amp; 491'!$H$98</definedName>
    <definedName name="OSRRefH22_18x_0" localSheetId="56">'331'!$H$106</definedName>
    <definedName name="OSRRefH22_18x_0" localSheetId="72">'491'!$H$96</definedName>
    <definedName name="OSRRefH22_18x_0" localSheetId="39">'Div 2'!$H$89</definedName>
    <definedName name="OSRRefH22_18x_0" localSheetId="47">'Div 3'!$H$117:$H$120</definedName>
    <definedName name="OSRRefH22_18x_0" localSheetId="70">'Div 4'!$H$99:$H$100</definedName>
    <definedName name="OSRRefH22_18x_0" localSheetId="2">Summary!$H$123:$H$126</definedName>
    <definedName name="OSRRefH22_19x_0" localSheetId="48">'300'!$H$121:$H$122</definedName>
    <definedName name="OSRRefH22_19x_0" localSheetId="49">'300 &amp; 317'!$H$127:$H$128</definedName>
    <definedName name="OSRRefH22_19x_0" localSheetId="50">'301'!$H$85</definedName>
    <definedName name="OSRRefH22_19x_0" localSheetId="71">'310 &amp; 491'!$H$100</definedName>
    <definedName name="OSRRefH22_19x_0" localSheetId="56">'331'!$H$108:$H$109</definedName>
    <definedName name="OSRRefH22_19x_0" localSheetId="39">'Div 2'!$H$91</definedName>
    <definedName name="OSRRefH22_19x_0" localSheetId="47">'Div 3'!$H$122:$H$125</definedName>
    <definedName name="OSRRefH22_19x_0" localSheetId="70">'Div 4'!$H$102</definedName>
    <definedName name="OSRRefH22_19x_0" localSheetId="2">Summary!$H$128:$H$131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'204'!$H$30:$H$39</definedName>
    <definedName name="OSRRefH22_1x_0" localSheetId="45">'205'!$H$30:$H$39</definedName>
    <definedName name="OSRRefH22_1x_0" localSheetId="46">'206'!$H$30:$H$39</definedName>
    <definedName name="OSRRefH22_1x_0" localSheetId="48">'300'!$H$64:$H$73</definedName>
    <definedName name="OSRRefH22_1x_0" localSheetId="49">'300 &amp; 317'!$H$70:$H$79</definedName>
    <definedName name="OSRRefH22_1x_0" localSheetId="50">'301'!$H$31:$H$40</definedName>
    <definedName name="OSRRefH22_1x_0" localSheetId="52">'307'!$H$42:$H$51</definedName>
    <definedName name="OSRRefH22_1x_0" localSheetId="53">'308'!$H$45:$H$54</definedName>
    <definedName name="OSRRefH22_1x_0" localSheetId="65">'309'!$H$22:$H$23</definedName>
    <definedName name="OSRRefH22_1x_0" localSheetId="64">'310'!$H$36:$H$45</definedName>
    <definedName name="OSRRefH22_1x_0" localSheetId="71">'310 &amp; 491'!$H$38:$H$47</definedName>
    <definedName name="OSRRefH22_1x_0" localSheetId="54">'311'!$H$45:$H$54</definedName>
    <definedName name="OSRRefH22_1x_0" localSheetId="66">'313'!$H$22</definedName>
    <definedName name="OSRRefH22_1x_0" localSheetId="57">'315'!$H$53:$H$62</definedName>
    <definedName name="OSRRefH22_1x_0" localSheetId="60">'316'!$H$36:$H$45</definedName>
    <definedName name="OSRRefH22_1x_0" localSheetId="62">'317'!$H$45:$H$54</definedName>
    <definedName name="OSRRefH22_1x_0" localSheetId="67">'321'!$H$33:$H$42</definedName>
    <definedName name="OSRRefH22_1x_0" localSheetId="68">'325'!$H$34:$H$43</definedName>
    <definedName name="OSRRefH22_1x_0" localSheetId="58">'326'!$H$35:$H$44</definedName>
    <definedName name="OSRRefH22_1x_0" localSheetId="51">'330'!$H$42:$H$51</definedName>
    <definedName name="OSRRefH22_1x_0" localSheetId="56">'331'!$H$53:$H$62</definedName>
    <definedName name="OSRRefH22_1x_0" localSheetId="59">'332'!$H$36:$H$45</definedName>
    <definedName name="OSRRefH22_1x_0" localSheetId="73">'405'!$H$37:$H$46</definedName>
    <definedName name="OSRRefH22_1x_0" localSheetId="74">'411'!$H$30:$H$39</definedName>
    <definedName name="OSRRefH22_1x_0" localSheetId="75">'412'!$H$22</definedName>
    <definedName name="OSRRefH22_1x_0" localSheetId="76">'413'!$H$22</definedName>
    <definedName name="OSRRefH22_1x_0" localSheetId="77">'415'!$H$37:$H$46</definedName>
    <definedName name="OSRRefH22_1x_0" localSheetId="78">'418'!$H$34:$H$43</definedName>
    <definedName name="OSRRefH22_1x_0" localSheetId="79">'423'!$H$29:$H$38</definedName>
    <definedName name="OSRRefH22_1x_0" localSheetId="80">'424'!$H$22</definedName>
    <definedName name="OSRRefH22_1x_0" localSheetId="81">'425'!$H$23</definedName>
    <definedName name="OSRRefH22_1x_0" localSheetId="84">'430'!$H$30:$H$39</definedName>
    <definedName name="OSRRefH22_1x_0" localSheetId="85">'433'!$H$38:$H$47</definedName>
    <definedName name="OSRRefH22_1x_0" localSheetId="86">'444'!$H$38:$H$47</definedName>
    <definedName name="OSRRefH22_1x_0" localSheetId="87">'450'!$H$37:$H$46</definedName>
    <definedName name="OSRRefH22_1x_0" localSheetId="72">'491'!$H$37:$H$46</definedName>
    <definedName name="OSRRefH22_1x_0" localSheetId="83">'492'!$H$38:$H$47</definedName>
    <definedName name="OSRRefH22_1x_0" localSheetId="89">'501'!$H$31:$H$40</definedName>
    <definedName name="OSRRefH22_1x_0" localSheetId="39">'Div 2'!$H$32:$H$41</definedName>
    <definedName name="OSRRefH22_1x_0" localSheetId="47">'Div 3'!$H$67:$H$76</definedName>
    <definedName name="OSRRefH22_1x_0" localSheetId="70">'Div 4'!$H$40:$H$49</definedName>
    <definedName name="OSRRefH22_1x_0" localSheetId="88">'Div 5'!$H$31:$H$40</definedName>
    <definedName name="OSRRefH22_1x_0" localSheetId="61">'Div 6'!$H$45:$H$54</definedName>
    <definedName name="OSRRefH22_1x_0" localSheetId="2">Summary!$H$76:$H$85</definedName>
    <definedName name="OSRRefH22_20x_0" localSheetId="48">'300'!$H$124:$H$129</definedName>
    <definedName name="OSRRefH22_20x_0" localSheetId="49">'300 &amp; 317'!$H$130:$H$135</definedName>
    <definedName name="OSRRefH22_20x_0" localSheetId="50">'301'!$H$87</definedName>
    <definedName name="OSRRefH22_20x_0" localSheetId="56">'331'!$H$111</definedName>
    <definedName name="OSRRefH22_20x_0" localSheetId="47">'Div 3'!$H$127:$H$128</definedName>
    <definedName name="OSRRefH22_20x_0" localSheetId="70">'Div 4'!$H$104</definedName>
    <definedName name="OSRRefH22_20x_0" localSheetId="2">Summary!$H$133:$H$137</definedName>
    <definedName name="OSRRefH22_21x_0" localSheetId="48">'300'!$H$131:$H$132</definedName>
    <definedName name="OSRRefH22_21x_0" localSheetId="49">'300 &amp; 317'!$H$137:$H$138</definedName>
    <definedName name="OSRRefH22_21x_0" localSheetId="47">'Div 3'!$H$130:$H$136</definedName>
    <definedName name="OSRRefH22_21x_0" localSheetId="70">'Div 4'!$H$106</definedName>
    <definedName name="OSRRefH22_21x_0" localSheetId="2">Summary!$H$139:$H$140</definedName>
    <definedName name="OSRRefH22_22x_0" localSheetId="48">'300'!$H$134:$H$136</definedName>
    <definedName name="OSRRefH22_22x_0" localSheetId="49">'300 &amp; 317'!$H$140:$H$142</definedName>
    <definedName name="OSRRefH22_22x_0" localSheetId="47">'Div 3'!$H$138:$H$139</definedName>
    <definedName name="OSRRefH22_22x_0" localSheetId="2">Summary!$H$142:$H$151</definedName>
    <definedName name="OSRRefH22_23x_0" localSheetId="48">'300'!$H$138</definedName>
    <definedName name="OSRRefH22_23x_0" localSheetId="49">'300 &amp; 317'!$H$144</definedName>
    <definedName name="OSRRefH22_23x_0" localSheetId="47">'Div 3'!$H$141</definedName>
    <definedName name="OSRRefH22_23x_0" localSheetId="2">Summary!$H$153:$H$154</definedName>
    <definedName name="OSRRefH22_24x_0" localSheetId="47">'Div 3'!$H$143:$H$145</definedName>
    <definedName name="OSRRefH22_24x_0" localSheetId="2">Summary!$H$156</definedName>
    <definedName name="OSRRefH22_25x_0" localSheetId="47">'Div 3'!$H$147</definedName>
    <definedName name="OSRRefH22_25x_0" localSheetId="2">Summary!$H$158:$H$160</definedName>
    <definedName name="OSRRefH22_26x_0" localSheetId="2">Summary!$H$162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'204'!$H$41</definedName>
    <definedName name="OSRRefH22_2x_0" localSheetId="45">'205'!$H$41</definedName>
    <definedName name="OSRRefH22_2x_0" localSheetId="46">'206'!$H$41</definedName>
    <definedName name="OSRRefH22_2x_0" localSheetId="48">'300'!$H$75</definedName>
    <definedName name="OSRRefH22_2x_0" localSheetId="49">'300 &amp; 317'!$H$81</definedName>
    <definedName name="OSRRefH22_2x_0" localSheetId="50">'301'!$H$42</definedName>
    <definedName name="OSRRefH22_2x_0" localSheetId="52">'307'!$H$53</definedName>
    <definedName name="OSRRefH22_2x_0" localSheetId="53">'308'!$H$56</definedName>
    <definedName name="OSRRefH22_2x_0" localSheetId="65">'309'!$H$25</definedName>
    <definedName name="OSRRefH22_2x_0" localSheetId="64">'310'!$H$47</definedName>
    <definedName name="OSRRefH22_2x_0" localSheetId="71">'310 &amp; 491'!$H$49</definedName>
    <definedName name="OSRRefH22_2x_0" localSheetId="54">'311'!$H$56</definedName>
    <definedName name="OSRRefH22_2x_0" localSheetId="57">'315'!$H$64</definedName>
    <definedName name="OSRRefH22_2x_0" localSheetId="60">'316'!$H$47</definedName>
    <definedName name="OSRRefH22_2x_0" localSheetId="62">'317'!$H$56</definedName>
    <definedName name="OSRRefH22_2x_0" localSheetId="67">'321'!$H$44</definedName>
    <definedName name="OSRRefH22_2x_0" localSheetId="68">'325'!$H$45</definedName>
    <definedName name="OSRRefH22_2x_0" localSheetId="58">'326'!$H$46</definedName>
    <definedName name="OSRRefH22_2x_0" localSheetId="51">'330'!$H$53</definedName>
    <definedName name="OSRRefH22_2x_0" localSheetId="56">'331'!$H$64</definedName>
    <definedName name="OSRRefH22_2x_0" localSheetId="59">'332'!$H$47</definedName>
    <definedName name="OSRRefH22_2x_0" localSheetId="73">'405'!$H$48</definedName>
    <definedName name="OSRRefH22_2x_0" localSheetId="74">'411'!$H$41</definedName>
    <definedName name="OSRRefH22_2x_0" localSheetId="75">'412'!$H$24</definedName>
    <definedName name="OSRRefH22_2x_0" localSheetId="77">'415'!$H$48</definedName>
    <definedName name="OSRRefH22_2x_0" localSheetId="78">'418'!$H$45</definedName>
    <definedName name="OSRRefH22_2x_0" localSheetId="79">'423'!$H$40</definedName>
    <definedName name="OSRRefH22_2x_0" localSheetId="84">'430'!$H$41</definedName>
    <definedName name="OSRRefH22_2x_0" localSheetId="85">'433'!$H$49</definedName>
    <definedName name="OSRRefH22_2x_0" localSheetId="86">'444'!$H$49</definedName>
    <definedName name="OSRRefH22_2x_0" localSheetId="87">'450'!$H$48</definedName>
    <definedName name="OSRRefH22_2x_0" localSheetId="72">'491'!$H$48</definedName>
    <definedName name="OSRRefH22_2x_0" localSheetId="83">'492'!$H$49</definedName>
    <definedName name="OSRRefH22_2x_0" localSheetId="89">'501'!$H$42</definedName>
    <definedName name="OSRRefH22_2x_0" localSheetId="39">'Div 2'!$H$43</definedName>
    <definedName name="OSRRefH22_2x_0" localSheetId="47">'Div 3'!$H$78</definedName>
    <definedName name="OSRRefH22_2x_0" localSheetId="70">'Div 4'!$H$51</definedName>
    <definedName name="OSRRefH22_2x_0" localSheetId="88">'Div 5'!$H$42</definedName>
    <definedName name="OSRRefH22_2x_0" localSheetId="61">'Div 6'!$H$56</definedName>
    <definedName name="OSRRefH22_2x_0" localSheetId="2">Summary!$H$87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'204'!$H$43:$H$44</definedName>
    <definedName name="OSRRefH22_3x_0" localSheetId="45">'205'!$H$43</definedName>
    <definedName name="OSRRefH22_3x_0" localSheetId="46">'206'!$H$43</definedName>
    <definedName name="OSRRefH22_3x_0" localSheetId="48">'300'!$H$77</definedName>
    <definedName name="OSRRefH22_3x_0" localSheetId="49">'300 &amp; 317'!$H$83</definedName>
    <definedName name="OSRRefH22_3x_0" localSheetId="50">'301'!$H$44</definedName>
    <definedName name="OSRRefH22_3x_0" localSheetId="52">'307'!$H$55</definedName>
    <definedName name="OSRRefH22_3x_0" localSheetId="53">'308'!$H$58</definedName>
    <definedName name="OSRRefH22_3x_0" localSheetId="64">'310'!$H$49</definedName>
    <definedName name="OSRRefH22_3x_0" localSheetId="71">'310 &amp; 491'!$H$51</definedName>
    <definedName name="OSRRefH22_3x_0" localSheetId="54">'311'!$H$58</definedName>
    <definedName name="OSRRefH22_3x_0" localSheetId="57">'315'!$H$66</definedName>
    <definedName name="OSRRefH22_3x_0" localSheetId="60">'316'!$H$49</definedName>
    <definedName name="OSRRefH22_3x_0" localSheetId="62">'317'!$H$58</definedName>
    <definedName name="OSRRefH22_3x_0" localSheetId="67">'321'!$H$46</definedName>
    <definedName name="OSRRefH22_3x_0" localSheetId="68">'325'!$H$47</definedName>
    <definedName name="OSRRefH22_3x_0" localSheetId="58">'326'!$H$48</definedName>
    <definedName name="OSRRefH22_3x_0" localSheetId="51">'330'!$H$55</definedName>
    <definedName name="OSRRefH22_3x_0" localSheetId="56">'331'!$H$66</definedName>
    <definedName name="OSRRefH22_3x_0" localSheetId="59">'332'!$H$49</definedName>
    <definedName name="OSRRefH22_3x_0" localSheetId="73">'405'!$H$50</definedName>
    <definedName name="OSRRefH22_3x_0" localSheetId="74">'411'!$H$43:$H$44</definedName>
    <definedName name="OSRRefH22_3x_0" localSheetId="77">'415'!$H$50</definedName>
    <definedName name="OSRRefH22_3x_0" localSheetId="78">'418'!$H$47</definedName>
    <definedName name="OSRRefH22_3x_0" localSheetId="79">'423'!$H$42</definedName>
    <definedName name="OSRRefH22_3x_0" localSheetId="84">'430'!$H$43</definedName>
    <definedName name="OSRRefH22_3x_0" localSheetId="85">'433'!$H$51</definedName>
    <definedName name="OSRRefH22_3x_0" localSheetId="86">'444'!$H$51</definedName>
    <definedName name="OSRRefH22_3x_0" localSheetId="87">'450'!$H$50</definedName>
    <definedName name="OSRRefH22_3x_0" localSheetId="72">'491'!$H$50</definedName>
    <definedName name="OSRRefH22_3x_0" localSheetId="83">'492'!$H$51</definedName>
    <definedName name="OSRRefH22_3x_0" localSheetId="89">'501'!$H$44</definedName>
    <definedName name="OSRRefH22_3x_0" localSheetId="39">'Div 2'!$H$45</definedName>
    <definedName name="OSRRefH22_3x_0" localSheetId="47">'Div 3'!$H$80</definedName>
    <definedName name="OSRRefH22_3x_0" localSheetId="70">'Div 4'!$H$53</definedName>
    <definedName name="OSRRefH22_3x_0" localSheetId="88">'Div 5'!$H$44</definedName>
    <definedName name="OSRRefH22_3x_0" localSheetId="61">'Div 6'!$H$58</definedName>
    <definedName name="OSRRefH22_3x_0" localSheetId="2">Summary!$H$89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'205'!$H$45:$H$46</definedName>
    <definedName name="OSRRefH22_4x_0" localSheetId="46">'206'!$H$45:$H$46</definedName>
    <definedName name="OSRRefH22_4x_0" localSheetId="48">'300'!$H$79</definedName>
    <definedName name="OSRRefH22_4x_0" localSheetId="49">'300 &amp; 317'!$H$85</definedName>
    <definedName name="OSRRefH22_4x_0" localSheetId="50">'301'!$H$46</definedName>
    <definedName name="OSRRefH22_4x_0" localSheetId="52">'307'!$H$57</definedName>
    <definedName name="OSRRefH22_4x_0" localSheetId="53">'308'!$H$60</definedName>
    <definedName name="OSRRefH22_4x_0" localSheetId="64">'310'!$H$51</definedName>
    <definedName name="OSRRefH22_4x_0" localSheetId="71">'310 &amp; 491'!$H$53</definedName>
    <definedName name="OSRRefH22_4x_0" localSheetId="54">'311'!$H$60</definedName>
    <definedName name="OSRRefH22_4x_0" localSheetId="57">'315'!$H$68</definedName>
    <definedName name="OSRRefH22_4x_0" localSheetId="60">'316'!$H$51</definedName>
    <definedName name="OSRRefH22_4x_0" localSheetId="62">'317'!$H$60</definedName>
    <definedName name="OSRRefH22_4x_0" localSheetId="67">'321'!$H$48</definedName>
    <definedName name="OSRRefH22_4x_0" localSheetId="68">'325'!$H$49</definedName>
    <definedName name="OSRRefH22_4x_0" localSheetId="58">'326'!$H$50</definedName>
    <definedName name="OSRRefH22_4x_0" localSheetId="51">'330'!$H$57</definedName>
    <definedName name="OSRRefH22_4x_0" localSheetId="56">'331'!$H$68</definedName>
    <definedName name="OSRRefH22_4x_0" localSheetId="59">'332'!$H$51</definedName>
    <definedName name="OSRRefH22_4x_0" localSheetId="73">'405'!$H$52</definedName>
    <definedName name="OSRRefH22_4x_0" localSheetId="74">'411'!$H$46</definedName>
    <definedName name="OSRRefH22_4x_0" localSheetId="77">'415'!$H$52</definedName>
    <definedName name="OSRRefH22_4x_0" localSheetId="78">'418'!$H$49:$H$50</definedName>
    <definedName name="OSRRefH22_4x_0" localSheetId="79">'423'!$H$44</definedName>
    <definedName name="OSRRefH22_4x_0" localSheetId="84">'430'!$H$45:$H$46</definedName>
    <definedName name="OSRRefH22_4x_0" localSheetId="85">'433'!$H$53</definedName>
    <definedName name="OSRRefH22_4x_0" localSheetId="86">'444'!$H$53</definedName>
    <definedName name="OSRRefH22_4x_0" localSheetId="87">'450'!$H$52</definedName>
    <definedName name="OSRRefH22_4x_0" localSheetId="72">'491'!$H$52</definedName>
    <definedName name="OSRRefH22_4x_0" localSheetId="83">'492'!$H$53</definedName>
    <definedName name="OSRRefH22_4x_0" localSheetId="89">'501'!$H$46</definedName>
    <definedName name="OSRRefH22_4x_0" localSheetId="39">'Div 2'!$H$47</definedName>
    <definedName name="OSRRefH22_4x_0" localSheetId="47">'Div 3'!$H$82</definedName>
    <definedName name="OSRRefH22_4x_0" localSheetId="70">'Div 4'!$H$55</definedName>
    <definedName name="OSRRefH22_4x_0" localSheetId="88">'Div 5'!$H$46</definedName>
    <definedName name="OSRRefH22_4x_0" localSheetId="61">'Div 6'!$H$60</definedName>
    <definedName name="OSRRefH22_4x_0" localSheetId="2">Summary!$H$91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'204'!$H$48:$H$51</definedName>
    <definedName name="OSRRefH22_5x_0" localSheetId="45">'205'!$H$48</definedName>
    <definedName name="OSRRefH22_5x_0" localSheetId="46">'206'!$H$48</definedName>
    <definedName name="OSRRefH22_5x_0" localSheetId="48">'300'!$H$81:$H$82</definedName>
    <definedName name="OSRRefH22_5x_0" localSheetId="49">'300 &amp; 317'!$H$87:$H$88</definedName>
    <definedName name="OSRRefH22_5x_0" localSheetId="50">'301'!$H$48:$H$49</definedName>
    <definedName name="OSRRefH22_5x_0" localSheetId="52">'307'!$H$59:$H$60</definedName>
    <definedName name="OSRRefH22_5x_0" localSheetId="53">'308'!$H$62</definedName>
    <definedName name="OSRRefH22_5x_0" localSheetId="64">'310'!$H$53:$H$54</definedName>
    <definedName name="OSRRefH22_5x_0" localSheetId="71">'310 &amp; 491'!$H$55:$H$56</definedName>
    <definedName name="OSRRefH22_5x_0" localSheetId="54">'311'!$H$62</definedName>
    <definedName name="OSRRefH22_5x_0" localSheetId="57">'315'!$H$70</definedName>
    <definedName name="OSRRefH22_5x_0" localSheetId="60">'316'!$H$53:$H$54</definedName>
    <definedName name="OSRRefH22_5x_0" localSheetId="62">'317'!$H$62</definedName>
    <definedName name="OSRRefH22_5x_0" localSheetId="67">'321'!$H$50</definedName>
    <definedName name="OSRRefH22_5x_0" localSheetId="68">'325'!$H$51:$H$52</definedName>
    <definedName name="OSRRefH22_5x_0" localSheetId="58">'326'!$H$52</definedName>
    <definedName name="OSRRefH22_5x_0" localSheetId="51">'330'!$H$59:$H$60</definedName>
    <definedName name="OSRRefH22_5x_0" localSheetId="56">'331'!$H$70</definedName>
    <definedName name="OSRRefH22_5x_0" localSheetId="59">'332'!$H$53:$H$54</definedName>
    <definedName name="OSRRefH22_5x_0" localSheetId="73">'405'!$H$54:$H$55</definedName>
    <definedName name="OSRRefH22_5x_0" localSheetId="74">'411'!$H$48</definedName>
    <definedName name="OSRRefH22_5x_0" localSheetId="77">'415'!$H$54:$H$55</definedName>
    <definedName name="OSRRefH22_5x_0" localSheetId="78">'418'!$H$52</definedName>
    <definedName name="OSRRefH22_5x_0" localSheetId="79">'423'!$H$46</definedName>
    <definedName name="OSRRefH22_5x_0" localSheetId="84">'430'!$H$48:$H$49</definedName>
    <definedName name="OSRRefH22_5x_0" localSheetId="85">'433'!$H$55</definedName>
    <definedName name="OSRRefH22_5x_0" localSheetId="86">'444'!$H$55</definedName>
    <definedName name="OSRRefH22_5x_0" localSheetId="87">'450'!$H$54</definedName>
    <definedName name="OSRRefH22_5x_0" localSheetId="72">'491'!$H$54:$H$55</definedName>
    <definedName name="OSRRefH22_5x_0" localSheetId="83">'492'!$H$55</definedName>
    <definedName name="OSRRefH22_5x_0" localSheetId="89">'501'!$H$48</definedName>
    <definedName name="OSRRefH22_5x_0" localSheetId="39">'Div 2'!$H$49:$H$50</definedName>
    <definedName name="OSRRefH22_5x_0" localSheetId="47">'Div 3'!$H$84:$H$85</definedName>
    <definedName name="OSRRefH22_5x_0" localSheetId="70">'Div 4'!$H$57:$H$58</definedName>
    <definedName name="OSRRefH22_5x_0" localSheetId="88">'Div 5'!$H$48</definedName>
    <definedName name="OSRRefH22_5x_0" localSheetId="61">'Div 6'!$H$62</definedName>
    <definedName name="OSRRefH22_5x_0" localSheetId="2">Summary!$H$93:$H$94</definedName>
    <definedName name="OSRRefH22_6x_0" localSheetId="41">'201'!$H$49</definedName>
    <definedName name="OSRRefH22_6x_0" localSheetId="42">'202'!$H$49:$H$51</definedName>
    <definedName name="OSRRefH22_6x_0" localSheetId="43">'203'!$H$50</definedName>
    <definedName name="OSRRefH22_6x_0" localSheetId="44">'204'!$H$53</definedName>
    <definedName name="OSRRefH22_6x_0" localSheetId="45">'205'!$H$50:$H$52</definedName>
    <definedName name="OSRRefH22_6x_0" localSheetId="46">'206'!$H$50:$H$51</definedName>
    <definedName name="OSRRefH22_6x_0" localSheetId="48">'300'!$H$84:$H$85</definedName>
    <definedName name="OSRRefH22_6x_0" localSheetId="49">'300 &amp; 317'!$H$90:$H$91</definedName>
    <definedName name="OSRRefH22_6x_0" localSheetId="50">'301'!$H$51</definedName>
    <definedName name="OSRRefH22_6x_0" localSheetId="52">'307'!$H$62</definedName>
    <definedName name="OSRRefH22_6x_0" localSheetId="53">'308'!$H$64</definedName>
    <definedName name="OSRRefH22_6x_0" localSheetId="64">'310'!$H$56</definedName>
    <definedName name="OSRRefH22_6x_0" localSheetId="71">'310 &amp; 491'!$H$58</definedName>
    <definedName name="OSRRefH22_6x_0" localSheetId="54">'311'!$H$64</definedName>
    <definedName name="OSRRefH22_6x_0" localSheetId="57">'315'!$H$72</definedName>
    <definedName name="OSRRefH22_6x_0" localSheetId="60">'316'!$H$56:$H$57</definedName>
    <definedName name="OSRRefH22_6x_0" localSheetId="62">'317'!$H$64</definedName>
    <definedName name="OSRRefH22_6x_0" localSheetId="67">'321'!$H$52:$H$53</definedName>
    <definedName name="OSRRefH22_6x_0" localSheetId="68">'325'!$H$54</definedName>
    <definedName name="OSRRefH22_6x_0" localSheetId="58">'326'!$H$54</definedName>
    <definedName name="OSRRefH22_6x_0" localSheetId="51">'330'!$H$62</definedName>
    <definedName name="OSRRefH22_6x_0" localSheetId="56">'331'!$H$72</definedName>
    <definedName name="OSRRefH22_6x_0" localSheetId="59">'332'!$H$56:$H$57</definedName>
    <definedName name="OSRRefH22_6x_0" localSheetId="73">'405'!$H$57</definedName>
    <definedName name="OSRRefH22_6x_0" localSheetId="74">'411'!$H$50</definedName>
    <definedName name="OSRRefH22_6x_0" localSheetId="77">'415'!$H$57</definedName>
    <definedName name="OSRRefH22_6x_0" localSheetId="78">'418'!$H$54</definedName>
    <definedName name="OSRRefH22_6x_0" localSheetId="84">'430'!$H$51</definedName>
    <definedName name="OSRRefH22_6x_0" localSheetId="85">'433'!$H$57</definedName>
    <definedName name="OSRRefH22_6x_0" localSheetId="86">'444'!$H$57</definedName>
    <definedName name="OSRRefH22_6x_0" localSheetId="87">'450'!$H$56</definedName>
    <definedName name="OSRRefH22_6x_0" localSheetId="72">'491'!$H$57</definedName>
    <definedName name="OSRRefH22_6x_0" localSheetId="83">'492'!$H$57</definedName>
    <definedName name="OSRRefH22_6x_0" localSheetId="89">'501'!$H$50</definedName>
    <definedName name="OSRRefH22_6x_0" localSheetId="39">'Div 2'!$H$52</definedName>
    <definedName name="OSRRefH22_6x_0" localSheetId="47">'Div 3'!$H$87:$H$88</definedName>
    <definedName name="OSRRefH22_6x_0" localSheetId="70">'Div 4'!$H$60</definedName>
    <definedName name="OSRRefH22_6x_0" localSheetId="88">'Div 5'!$H$50</definedName>
    <definedName name="OSRRefH22_6x_0" localSheetId="61">'Div 6'!$H$64</definedName>
    <definedName name="OSRRefH22_6x_0" localSheetId="2">Summary!$H$96:$H$97</definedName>
    <definedName name="OSRRefH22_7x_0" localSheetId="41">'201'!$H$51</definedName>
    <definedName name="OSRRefH22_7x_0" localSheetId="42">'202'!$H$53</definedName>
    <definedName name="OSRRefH22_7x_0" localSheetId="43">'203'!$H$52</definedName>
    <definedName name="OSRRefH22_7x_0" localSheetId="44">'204'!$H$55:$H$56</definedName>
    <definedName name="OSRRefH22_7x_0" localSheetId="45">'205'!$H$54</definedName>
    <definedName name="OSRRefH22_7x_0" localSheetId="46">'206'!$H$53</definedName>
    <definedName name="OSRRefH22_7x_0" localSheetId="48">'300'!$H$87</definedName>
    <definedName name="OSRRefH22_7x_0" localSheetId="49">'300 &amp; 317'!$H$93</definedName>
    <definedName name="OSRRefH22_7x_0" localSheetId="50">'301'!$H$53</definedName>
    <definedName name="OSRRefH22_7x_0" localSheetId="52">'307'!$H$64</definedName>
    <definedName name="OSRRefH22_7x_0" localSheetId="53">'308'!$H$66</definedName>
    <definedName name="OSRRefH22_7x_0" localSheetId="64">'310'!$H$58</definedName>
    <definedName name="OSRRefH22_7x_0" localSheetId="71">'310 &amp; 491'!$H$60</definedName>
    <definedName name="OSRRefH22_7x_0" localSheetId="54">'311'!$H$66</definedName>
    <definedName name="OSRRefH22_7x_0" localSheetId="57">'315'!$H$74:$H$75</definedName>
    <definedName name="OSRRefH22_7x_0" localSheetId="60">'316'!$H$59</definedName>
    <definedName name="OSRRefH22_7x_0" localSheetId="62">'317'!$H$66</definedName>
    <definedName name="OSRRefH22_7x_0" localSheetId="67">'321'!$H$55</definedName>
    <definedName name="OSRRefH22_7x_0" localSheetId="68">'325'!$H$56</definedName>
    <definedName name="OSRRefH22_7x_0" localSheetId="58">'326'!$H$56</definedName>
    <definedName name="OSRRefH22_7x_0" localSheetId="51">'330'!$H$64</definedName>
    <definedName name="OSRRefH22_7x_0" localSheetId="56">'331'!$H$74:$H$75</definedName>
    <definedName name="OSRRefH22_7x_0" localSheetId="59">'332'!$H$59</definedName>
    <definedName name="OSRRefH22_7x_0" localSheetId="73">'405'!$H$59</definedName>
    <definedName name="OSRRefH22_7x_0" localSheetId="74">'411'!$H$52</definedName>
    <definedName name="OSRRefH22_7x_0" localSheetId="77">'415'!$H$59</definedName>
    <definedName name="OSRRefH22_7x_0" localSheetId="78">'418'!$H$56</definedName>
    <definedName name="OSRRefH22_7x_0" localSheetId="84">'430'!$H$53</definedName>
    <definedName name="OSRRefH22_7x_0" localSheetId="85">'433'!$H$59</definedName>
    <definedName name="OSRRefH22_7x_0" localSheetId="86">'444'!$H$59</definedName>
    <definedName name="OSRRefH22_7x_0" localSheetId="87">'450'!$H$58</definedName>
    <definedName name="OSRRefH22_7x_0" localSheetId="72">'491'!$H$59</definedName>
    <definedName name="OSRRefH22_7x_0" localSheetId="83">'492'!$H$59</definedName>
    <definedName name="OSRRefH22_7x_0" localSheetId="89">'501'!$H$52</definedName>
    <definedName name="OSRRefH22_7x_0" localSheetId="39">'Div 2'!$H$54</definedName>
    <definedName name="OSRRefH22_7x_0" localSheetId="47">'Div 3'!$H$90</definedName>
    <definedName name="OSRRefH22_7x_0" localSheetId="70">'Div 4'!$H$62</definedName>
    <definedName name="OSRRefH22_7x_0" localSheetId="88">'Div 5'!$H$52</definedName>
    <definedName name="OSRRefH22_7x_0" localSheetId="61">'Div 6'!$H$66</definedName>
    <definedName name="OSRRefH22_7x_0" localSheetId="2">Summary!$H$99</definedName>
    <definedName name="OSRRefH22_8x_0" localSheetId="41">'201'!$H$53:$H$54</definedName>
    <definedName name="OSRRefH22_8x_0" localSheetId="42">'202'!$H$55</definedName>
    <definedName name="OSRRefH22_8x_0" localSheetId="43">'203'!$H$54:$H$56</definedName>
    <definedName name="OSRRefH22_8x_0" localSheetId="48">'300'!$H$89</definedName>
    <definedName name="OSRRefH22_8x_0" localSheetId="49">'300 &amp; 317'!$H$95</definedName>
    <definedName name="OSRRefH22_8x_0" localSheetId="50">'301'!$H$55</definedName>
    <definedName name="OSRRefH22_8x_0" localSheetId="52">'307'!$H$66</definedName>
    <definedName name="OSRRefH22_8x_0" localSheetId="53">'308'!$H$68:$H$70</definedName>
    <definedName name="OSRRefH22_8x_0" localSheetId="64">'310'!$H$60</definedName>
    <definedName name="OSRRefH22_8x_0" localSheetId="71">'310 &amp; 491'!$H$62</definedName>
    <definedName name="OSRRefH22_8x_0" localSheetId="54">'311'!$H$68:$H$70</definedName>
    <definedName name="OSRRefH22_8x_0" localSheetId="57">'315'!$H$77</definedName>
    <definedName name="OSRRefH22_8x_0" localSheetId="60">'316'!$H$61:$H$64</definedName>
    <definedName name="OSRRefH22_8x_0" localSheetId="62">'317'!$H$68:$H$69</definedName>
    <definedName name="OSRRefH22_8x_0" localSheetId="67">'321'!$H$57:$H$58</definedName>
    <definedName name="OSRRefH22_8x_0" localSheetId="68">'325'!$H$58</definedName>
    <definedName name="OSRRefH22_8x_0" localSheetId="58">'326'!$H$58</definedName>
    <definedName name="OSRRefH22_8x_0" localSheetId="51">'330'!$H$66</definedName>
    <definedName name="OSRRefH22_8x_0" localSheetId="56">'331'!$H$77:$H$78</definedName>
    <definedName name="OSRRefH22_8x_0" localSheetId="59">'332'!$H$61:$H$64</definedName>
    <definedName name="OSRRefH22_8x_0" localSheetId="73">'405'!$H$61</definedName>
    <definedName name="OSRRefH22_8x_0" localSheetId="74">'411'!$H$54:$H$56</definedName>
    <definedName name="OSRRefH22_8x_0" localSheetId="77">'415'!$H$61</definedName>
    <definedName name="OSRRefH22_8x_0" localSheetId="78">'418'!$H$58:$H$59</definedName>
    <definedName name="OSRRefH22_8x_0" localSheetId="85">'433'!$H$61</definedName>
    <definedName name="OSRRefH22_8x_0" localSheetId="86">'444'!$H$61</definedName>
    <definedName name="OSRRefH22_8x_0" localSheetId="87">'450'!$H$60</definedName>
    <definedName name="OSRRefH22_8x_0" localSheetId="72">'491'!$H$61</definedName>
    <definedName name="OSRRefH22_8x_0" localSheetId="83">'492'!$H$61</definedName>
    <definedName name="OSRRefH22_8x_0" localSheetId="89">'501'!$H$54</definedName>
    <definedName name="OSRRefH22_8x_0" localSheetId="39">'Div 2'!$H$56</definedName>
    <definedName name="OSRRefH22_8x_0" localSheetId="47">'Div 3'!$H$92</definedName>
    <definedName name="OSRRefH22_8x_0" localSheetId="70">'Div 4'!$H$64</definedName>
    <definedName name="OSRRefH22_8x_0" localSheetId="88">'Div 5'!$H$54</definedName>
    <definedName name="OSRRefH22_8x_0" localSheetId="61">'Div 6'!$H$68:$H$69</definedName>
    <definedName name="OSRRefH22_8x_0" localSheetId="2">Summary!$H$101</definedName>
    <definedName name="OSRRefH22_9x_0" localSheetId="41">'201'!$H$56</definedName>
    <definedName name="OSRRefH22_9x_0" localSheetId="42">'202'!$H$57</definedName>
    <definedName name="OSRRefH22_9x_0" localSheetId="43">'203'!$H$58:$H$59</definedName>
    <definedName name="OSRRefH22_9x_0" localSheetId="48">'300'!$H$91</definedName>
    <definedName name="OSRRefH22_9x_0" localSheetId="49">'300 &amp; 317'!$H$97</definedName>
    <definedName name="OSRRefH22_9x_0" localSheetId="50">'301'!$H$57</definedName>
    <definedName name="OSRRefH22_9x_0" localSheetId="52">'307'!$H$68</definedName>
    <definedName name="OSRRefH22_9x_0" localSheetId="53">'308'!$H$72</definedName>
    <definedName name="OSRRefH22_9x_0" localSheetId="64">'310'!$H$62</definedName>
    <definedName name="OSRRefH22_9x_0" localSheetId="71">'310 &amp; 491'!$H$64</definedName>
    <definedName name="OSRRefH22_9x_0" localSheetId="54">'311'!$H$72</definedName>
    <definedName name="OSRRefH22_9x_0" localSheetId="57">'315'!$H$79</definedName>
    <definedName name="OSRRefH22_9x_0" localSheetId="60">'316'!$H$66</definedName>
    <definedName name="OSRRefH22_9x_0" localSheetId="62">'317'!$H$71</definedName>
    <definedName name="OSRRefH22_9x_0" localSheetId="67">'321'!$H$60:$H$62</definedName>
    <definedName name="OSRRefH22_9x_0" localSheetId="68">'325'!$H$60</definedName>
    <definedName name="OSRRefH22_9x_0" localSheetId="58">'326'!$H$60</definedName>
    <definedName name="OSRRefH22_9x_0" localSheetId="51">'330'!$H$68</definedName>
    <definedName name="OSRRefH22_9x_0" localSheetId="56">'331'!$H$80</definedName>
    <definedName name="OSRRefH22_9x_0" localSheetId="59">'332'!$H$66</definedName>
    <definedName name="OSRRefH22_9x_0" localSheetId="73">'405'!$H$63:$H$64</definedName>
    <definedName name="OSRRefH22_9x_0" localSheetId="74">'411'!$H$58:$H$60</definedName>
    <definedName name="OSRRefH22_9x_0" localSheetId="77">'415'!$H$63</definedName>
    <definedName name="OSRRefH22_9x_0" localSheetId="78">'418'!$H$61:$H$64</definedName>
    <definedName name="OSRRefH22_9x_0" localSheetId="85">'433'!$H$63</definedName>
    <definedName name="OSRRefH22_9x_0" localSheetId="86">'444'!$H$63</definedName>
    <definedName name="OSRRefH22_9x_0" localSheetId="87">'450'!$H$62</definedName>
    <definedName name="OSRRefH22_9x_0" localSheetId="72">'491'!$H$63</definedName>
    <definedName name="OSRRefH22_9x_0" localSheetId="83">'492'!$H$63</definedName>
    <definedName name="OSRRefH22_9x_0" localSheetId="89">'501'!$H$56:$H$58</definedName>
    <definedName name="OSRRefH22_9x_0" localSheetId="39">'Div 2'!$H$58</definedName>
    <definedName name="OSRRefH22_9x_0" localSheetId="47">'Div 3'!$H$94</definedName>
    <definedName name="OSRRefH22_9x_0" localSheetId="70">'Div 4'!$H$66</definedName>
    <definedName name="OSRRefH22_9x_0" localSheetId="88">'Div 5'!$H$56:$H$58</definedName>
    <definedName name="OSRRefH22_9x_0" localSheetId="61">'Div 6'!$H$71</definedName>
    <definedName name="OSRRefH22_9x_0" localSheetId="2">Summary!$H$103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'201'!$H$20:$H$28,'201'!$H$30:$H$39,'201'!$H$41,'201'!$H$43,'201'!$H$45,'201'!$H$47,'201'!$H$49,'201'!$H$51,'201'!$H$53:$H$54,'201'!$H$56,'201'!$H$58:$H$59,'201'!$H$61</definedName>
    <definedName name="OSRRefH22x_0" localSheetId="42">'202'!$H$20:$H$28,'202'!$H$30:$H$39,'202'!$H$41,'202'!$H$43,'202'!$H$45,'202'!$H$47,'202'!$H$49:$H$51,'202'!$H$53,'202'!$H$55,'202'!$H$57,'202'!$H$59,'202'!$H$61</definedName>
    <definedName name="OSRRefH22x_0" localSheetId="43">'203'!$H$20:$H$29,'203'!$H$31:$H$40,'203'!$H$42,'203'!$H$44,'203'!$H$46,'203'!$H$48,'203'!$H$50,'203'!$H$52,'203'!$H$54:$H$56,'203'!$H$58:$H$59,'203'!$H$61,'203'!$H$63:$H$66,'203'!$H$68,'203'!$H$70</definedName>
    <definedName name="OSRRefH22x_0" localSheetId="44">'204'!$H$20:$H$28,'204'!$H$30:$H$39,'204'!$H$41,'204'!$H$43:$H$44,'204'!$H$46,'204'!$H$48:$H$51,'204'!$H$53,'204'!$H$55:$H$56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'206'!$H$20:$H$28,'206'!$H$30:$H$39,'206'!$H$41,'206'!$H$43,'206'!$H$45:$H$46,'206'!$H$48,'206'!$H$50:$H$51,'206'!$H$53</definedName>
    <definedName name="OSRRefH22x_0" localSheetId="48">'300'!$H$53:$H$62,'300'!$H$64:$H$73,'300'!$H$75,'300'!$H$77,'300'!$H$79,'300'!$H$81:$H$82,'300'!$H$84:$H$85,'300'!$H$87,'300'!$H$89,'300'!$H$91,'300'!$H$93:$H$94,'300'!$H$96:$H$97,'300'!$H$99,'300'!$H$101,'300'!$H$103,'300'!$H$105,'300'!$H$107:$H$110,'300'!$H$112:$H$115,'300'!$H$117:$H$119,'300'!$H$121:$H$122,'300'!$H$124:$H$129,'300'!$H$131:$H$132,'300'!$H$134:$H$136,'300'!$H$138</definedName>
    <definedName name="OSRRefH22x_0" localSheetId="49">'300 &amp; 317'!$H$59:$H$68,'300 &amp; 317'!$H$70:$H$79,'300 &amp; 317'!$H$81,'300 &amp; 317'!$H$83,'300 &amp; 317'!$H$85,'300 &amp; 317'!$H$87:$H$88,'300 &amp; 317'!$H$90:$H$91,'300 &amp; 317'!$H$93,'300 &amp; 317'!$H$95,'300 &amp; 317'!$H$97,'300 &amp; 317'!$H$99:$H$100,'300 &amp; 317'!$H$102:$H$103,'300 &amp; 317'!$H$105,'300 &amp; 317'!$H$107,'300 &amp; 317'!$H$109,'300 &amp; 317'!$H$111,'300 &amp; 317'!$H$113:$H$116,'300 &amp; 317'!$H$118:$H$121,'300 &amp; 317'!$H$123:$H$125,'300 &amp; 317'!$H$127:$H$128,'300 &amp; 317'!$H$130:$H$135,'300 &amp; 317'!$H$137:$H$138,'300 &amp; 317'!$H$140:$H$142,'300 &amp; 317'!$H$144</definedName>
    <definedName name="OSRRefH22x_0" localSheetId="50">'301'!$H$20:$H$29,'301'!$H$31:$H$40,'301'!$H$42,'301'!$H$44,'301'!$H$46,'301'!$H$48:$H$49,'301'!$H$51,'301'!$H$53,'301'!$H$55,'301'!$H$57,'301'!$H$59,'301'!$H$61,'301'!$H$63,'301'!$H$65,'301'!$H$67:$H$70,'301'!$H$72:$H$73,'301'!$H$75,'301'!$H$77:$H$81,'301'!$H$83,'301'!$H$85,'301'!$H$87</definedName>
    <definedName name="OSRRefH22x_0" localSheetId="52">'307'!$H$33:$H$40,'307'!$H$42:$H$51,'307'!$H$53,'307'!$H$55,'307'!$H$57,'307'!$H$59:$H$60,'307'!$H$62,'307'!$H$64,'307'!$H$66,'307'!$H$68,'307'!$H$70,'307'!$H$72:$H$74,'307'!$H$76</definedName>
    <definedName name="OSRRefH22x_0" localSheetId="53">'308'!$H$34:$H$43,'308'!$H$45:$H$54,'308'!$H$56,'308'!$H$58,'308'!$H$60,'308'!$H$62,'308'!$H$64,'308'!$H$66,'308'!$H$68:$H$70,'308'!$H$72,'308'!$H$74:$H$75,'308'!$H$77:$H$78</definedName>
    <definedName name="OSRRefH22x_0" localSheetId="65">'309'!$H$20,'309'!$H$22:$H$23,'309'!$H$25</definedName>
    <definedName name="OSRRefH22x_0" localSheetId="64">'310'!$H$26:$H$34,'310'!$H$36:$H$45,'310'!$H$47,'310'!$H$49,'310'!$H$51,'310'!$H$53:$H$54,'310'!$H$56,'310'!$H$58,'310'!$H$60,'310'!$H$62,'310'!$H$64:$H$65,'310'!$H$67,'310'!$H$69:$H$71,'310'!$H$73:$H$77,'310'!$H$79:$H$80,'310'!$H$82,'310'!$H$84</definedName>
    <definedName name="OSRRefH22x_0" localSheetId="71">'310 &amp; 491'!$H$28:$H$36,'310 &amp; 491'!$H$38:$H$47,'310 &amp; 491'!$H$49,'310 &amp; 491'!$H$51,'310 &amp; 491'!$H$53,'310 &amp; 491'!$H$55:$H$56,'310 &amp; 491'!$H$58,'310 &amp; 491'!$H$60,'310 &amp; 491'!$H$62,'310 &amp; 491'!$H$64,'310 &amp; 491'!$H$66,'310 &amp; 491'!$H$68,'310 &amp; 491'!$H$70:$H$72,'310 &amp; 491'!$H$74,'310 &amp; 491'!$H$76:$H$80,'310 &amp; 491'!$H$82,'310 &amp; 491'!$H$84:$H$93,'310 &amp; 491'!$H$95:$H$96,'310 &amp; 491'!$H$98,'310 &amp; 491'!$H$100</definedName>
    <definedName name="OSRRefH22x_0" localSheetId="54">'311'!$H$34:$H$43,'311'!$H$45:$H$54,'311'!$H$56,'311'!$H$58,'311'!$H$60,'311'!$H$62,'311'!$H$64,'311'!$H$66,'311'!$H$68:$H$70,'311'!$H$72,'311'!$H$74:$H$75,'311'!$H$77:$H$78</definedName>
    <definedName name="OSRRefH22x_0" localSheetId="66">'313'!$H$20,'313'!$H$22</definedName>
    <definedName name="OSRRefH22x_0" localSheetId="57">'315'!$H$43:$H$51,'315'!$H$53:$H$62,'315'!$H$64,'315'!$H$66,'315'!$H$68,'315'!$H$70,'315'!$H$72,'315'!$H$74:$H$75,'315'!$H$77,'315'!$H$79,'315'!$H$81,'315'!$H$83:$H$84,'315'!$H$86:$H$88,'315'!$H$90:$H$91,'315'!$H$93:$H$95,'315'!$H$97,'315'!$H$99</definedName>
    <definedName name="OSRRefH22x_0" localSheetId="60">'316'!$H$26:$H$34,'316'!$H$36:$H$45,'316'!$H$47,'316'!$H$49,'316'!$H$51,'316'!$H$53:$H$54,'316'!$H$56:$H$57,'316'!$H$59,'316'!$H$61:$H$64,'316'!$H$66</definedName>
    <definedName name="OSRRefH22x_0" localSheetId="62">'317'!$H$34:$H$43,'317'!$H$45:$H$54,'317'!$H$56,'317'!$H$58,'317'!$H$60,'317'!$H$62,'317'!$H$64,'317'!$H$66,'317'!$H$68:$H$69,'317'!$H$71</definedName>
    <definedName name="OSRRefH22x_0" localSheetId="67">'321'!$H$23:$H$31,'321'!$H$33:$H$42,'321'!$H$44,'321'!$H$46,'321'!$H$48,'321'!$H$50,'321'!$H$52:$H$53,'321'!$H$55,'321'!$H$57:$H$58,'321'!$H$60:$H$62,'321'!$H$64,'321'!$H$66</definedName>
    <definedName name="OSRRefH22x_0" localSheetId="68">'325'!$H$25:$H$32,'325'!$H$34:$H$43,'325'!$H$45,'325'!$H$47,'325'!$H$49,'325'!$H$51:$H$52,'325'!$H$54,'325'!$H$56,'325'!$H$58,'325'!$H$60,'325'!$H$62:$H$63,'325'!$H$65:$H$67,'325'!$H$69:$H$73,'325'!$H$75:$H$76,'325'!$H$78</definedName>
    <definedName name="OSRRefH22x_0" localSheetId="58">'326'!$H$25:$H$33,'326'!$H$35:$H$44,'326'!$H$46,'326'!$H$48,'326'!$H$50,'326'!$H$52,'326'!$H$54,'326'!$H$56,'326'!$H$58,'326'!$H$60,'326'!$H$62,'326'!$H$64:$H$65,'326'!$H$67:$H$68,'326'!$H$70:$H$71,'326'!$H$73:$H$75,'326'!$H$77,'326'!$H$79:$H$80,'326'!$H$82</definedName>
    <definedName name="OSRRefH22x_0" localSheetId="69">'327'!$H$24</definedName>
    <definedName name="OSRRefH22x_0" localSheetId="51">'330'!$H$33:$H$40,'330'!$H$42:$H$51,'330'!$H$53,'330'!$H$55,'330'!$H$57,'330'!$H$59:$H$60,'330'!$H$62,'330'!$H$64,'330'!$H$66,'330'!$H$68,'330'!$H$70,'330'!$H$72:$H$74,'330'!$H$76</definedName>
    <definedName name="OSRRefH22x_0" localSheetId="56">'331'!$H$43:$H$51,'331'!$H$53:$H$62,'331'!$H$64,'331'!$H$66,'331'!$H$68,'331'!$H$70,'331'!$H$72,'331'!$H$74:$H$75,'331'!$H$77:$H$78,'331'!$H$80,'331'!$H$82,'331'!$H$84,'331'!$H$86,'331'!$H$88:$H$89,'331'!$H$91:$H$93,'331'!$H$95:$H$96,'331'!$H$98:$H$99,'331'!$H$101:$H$104,'331'!$H$106,'331'!$H$108:$H$109,'331'!$H$111</definedName>
    <definedName name="OSRRefH22x_0" localSheetId="59">'332'!$H$26:$H$34,'332'!$H$36:$H$45,'332'!$H$47,'332'!$H$49,'332'!$H$51,'332'!$H$53:$H$54,'332'!$H$56:$H$57,'332'!$H$59,'332'!$H$61:$H$64,'332'!$H$66</definedName>
    <definedName name="OSRRefH22x_0" localSheetId="73">'405'!$H$27:$H$35,'405'!$H$37:$H$46,'405'!$H$48,'405'!$H$50,'405'!$H$52,'405'!$H$54:$H$55,'405'!$H$57,'405'!$H$59,'405'!$H$61,'405'!$H$63:$H$64,'405'!$H$66:$H$69,'405'!$H$71,'405'!$H$73:$H$80,'405'!$H$82,'405'!$H$84</definedName>
    <definedName name="OSRRefH22x_0" localSheetId="74">'411'!$H$20:$H$28,'411'!$H$30:$H$39,'411'!$H$41,'411'!$H$43:$H$44,'411'!$H$46,'411'!$H$48,'411'!$H$50,'411'!$H$52,'411'!$H$54:$H$56,'411'!$H$58:$H$60,'411'!$H$62,'411'!$H$64,'411'!$H$66,'411'!$H$68</definedName>
    <definedName name="OSRRefH22x_0" localSheetId="75">'412'!$H$20,'412'!$H$22,'412'!$H$24</definedName>
    <definedName name="OSRRefH22x_0" localSheetId="76">'413'!$H$20,'413'!$H$22</definedName>
    <definedName name="OSRRefH22x_0" localSheetId="77">'415'!$H$27:$H$35,'415'!$H$37:$H$46,'415'!$H$48,'415'!$H$50,'415'!$H$52,'415'!$H$54:$H$55,'415'!$H$57,'415'!$H$59,'415'!$H$61,'415'!$H$63,'415'!$H$65:$H$66,'415'!$H$68:$H$71,'415'!$H$73,'415'!$H$75:$H$80,'415'!$H$82:$H$83,'415'!$H$85,'415'!$H$87</definedName>
    <definedName name="OSRRefH22x_0" localSheetId="78">'418'!$H$24:$H$32,'418'!$H$34:$H$43,'418'!$H$45,'418'!$H$47,'418'!$H$49:$H$50,'418'!$H$52,'418'!$H$54,'418'!$H$56,'418'!$H$58:$H$59,'418'!$H$61:$H$64,'418'!$H$66,'418'!$H$68:$H$75,'418'!$H$77:$H$78,'418'!$H$80,'418'!$H$82</definedName>
    <definedName name="OSRRefH22x_0" localSheetId="79">'423'!$H$20:$H$27,'423'!$H$29:$H$38,'423'!$H$40,'423'!$H$42,'423'!$H$44,'423'!$H$46</definedName>
    <definedName name="OSRRefH22x_0" localSheetId="80">'424'!$H$20,'424'!$H$22</definedName>
    <definedName name="OSRRefH22x_0" localSheetId="81">'425'!$H$21,'425'!$H$23</definedName>
    <definedName name="OSRRefH22x_0" localSheetId="84">'430'!$H$20:$H$28,'430'!$H$30:$H$39,'430'!$H$41,'430'!$H$43,'430'!$H$45:$H$46,'430'!$H$48:$H$49,'430'!$H$51,'430'!$H$53</definedName>
    <definedName name="OSRRefH22x_0" localSheetId="85">'433'!$H$27:$H$36,'433'!$H$38:$H$47,'433'!$H$49,'433'!$H$51,'433'!$H$53,'433'!$H$55,'433'!$H$57,'433'!$H$59,'433'!$H$61,'433'!$H$63,'433'!$H$65:$H$67,'433'!$H$69:$H$72,'433'!$H$74:$H$79,'433'!$H$81</definedName>
    <definedName name="OSRRefH22x_0" localSheetId="86">'444'!$H$27:$H$36,'444'!$H$38:$H$47,'444'!$H$49,'444'!$H$51,'444'!$H$53,'444'!$H$55,'444'!$H$57,'444'!$H$59,'444'!$H$61,'444'!$H$63,'444'!$H$65,'444'!$H$67:$H$68,'444'!$H$70:$H$73,'444'!$H$75:$H$80,'444'!$H$82,'444'!$H$84</definedName>
    <definedName name="OSRRefH22x_0" localSheetId="87">'450'!$H$26:$H$35,'450'!$H$37:$H$46,'450'!$H$48,'450'!$H$50,'450'!$H$52,'450'!$H$54,'450'!$H$56,'450'!$H$58,'450'!$H$60,'450'!$H$62,'450'!$H$64,'450'!$H$66:$H$67,'450'!$H$69:$H$72,'450'!$H$74:$H$79,'450'!$H$81,'450'!$H$83</definedName>
    <definedName name="OSRRefH22x_0" localSheetId="72">'491'!$H$27:$H$35,'491'!$H$37:$H$46,'491'!$H$48,'491'!$H$50,'491'!$H$52,'491'!$H$54:$H$55,'491'!$H$57,'491'!$H$59,'491'!$H$61,'491'!$H$63,'491'!$H$65,'491'!$H$67,'491'!$H$69:$H$71,'491'!$H$73:$H$77,'491'!$H$79,'491'!$H$81:$H$89,'491'!$H$91:$H$92,'491'!$H$94,'491'!$H$96</definedName>
    <definedName name="OSRRefH22x_0" localSheetId="83">'492'!$H$27:$H$36,'492'!$H$38:$H$47,'492'!$H$49,'492'!$H$51,'492'!$H$53,'492'!$H$55,'492'!$H$57,'492'!$H$59,'492'!$H$61,'492'!$H$63,'492'!$H$65,'492'!$H$67,'492'!$H$69:$H$71,'492'!$H$73:$H$76,'492'!$H$78:$H$84,'492'!$H$86:$H$87,'492'!$H$89,'492'!$H$91</definedName>
    <definedName name="OSRRefH22x_0" localSheetId="89">'501'!$H$21:$H$29,'501'!$H$31:$H$40,'501'!$H$42,'501'!$H$44,'501'!$H$46,'501'!$H$48,'501'!$H$50,'501'!$H$52,'501'!$H$54,'501'!$H$56:$H$58,'501'!$H$60,'501'!$H$62:$H$63,'501'!$H$65</definedName>
    <definedName name="OSRRefH22x_0" localSheetId="39">'Div 2'!$H$20:$H$30,'Div 2'!$H$32:$H$41,'Div 2'!$H$43,'Div 2'!$H$45,'Div 2'!$H$47,'Div 2'!$H$49:$H$50,'Div 2'!$H$52,'Div 2'!$H$54,'Div 2'!$H$56,'Div 2'!$H$58,'Div 2'!$H$60,'Div 2'!$H$62,'Div 2'!$H$64:$H$67,'Div 2'!$H$69:$H$72,'Div 2'!$H$74:$H$75,'Div 2'!$H$77,'Div 2'!$H$79:$H$84,'Div 2'!$H$86:$H$87,'Div 2'!$H$89,'Div 2'!$H$91</definedName>
    <definedName name="OSRRefH22x_0" localSheetId="47">'Div 3'!$H$56:$H$65,'Div 3'!$H$67:$H$76,'Div 3'!$H$78,'Div 3'!$H$80,'Div 3'!$H$82,'Div 3'!$H$84:$H$85,'Div 3'!$H$87:$H$88,'Div 3'!$H$90,'Div 3'!$H$92,'Div 3'!$H$94,'Div 3'!$H$96:$H$97,'Div 3'!$H$99:$H$100,'Div 3'!$H$102,'Div 3'!$H$104,'Div 3'!$H$106,'Div 3'!$H$108,'Div 3'!$H$110,'Div 3'!$H$112:$H$115,'Div 3'!$H$117:$H$120,'Div 3'!$H$122:$H$125,'Div 3'!$H$127:$H$128,'Div 3'!$H$130:$H$136,'Div 3'!$H$138:$H$139,'Div 3'!$H$141,'Div 3'!$H$143:$H$145,'Div 3'!$H$147</definedName>
    <definedName name="OSRRefH22x_0" localSheetId="70">'Div 4'!$H$29:$H$38,'Div 4'!$H$40:$H$49,'Div 4'!$H$51,'Div 4'!$H$53,'Div 4'!$H$55,'Div 4'!$H$57:$H$58,'Div 4'!$H$60,'Div 4'!$H$62,'Div 4'!$H$64,'Div 4'!$H$66,'Div 4'!$H$68,'Div 4'!$H$70,'Div 4'!$H$72,'Div 4'!$H$74,'Div 4'!$H$76:$H$78,'Div 4'!$H$80:$H$84,'Div 4'!$H$86,'Div 4'!$H$88:$H$97,'Div 4'!$H$99:$H$100,'Div 4'!$H$102,'Div 4'!$H$104,'Div 4'!$H$106</definedName>
    <definedName name="OSRRefH22x_0" localSheetId="88">'Div 5'!$H$21:$H$29,'Div 5'!$H$31:$H$40,'Div 5'!$H$42,'Div 5'!$H$44,'Div 5'!$H$46,'Div 5'!$H$48,'Div 5'!$H$50,'Div 5'!$H$52,'Div 5'!$H$54,'Div 5'!$H$56:$H$58,'Div 5'!$H$60,'Div 5'!$H$62:$H$63,'Div 5'!$H$65</definedName>
    <definedName name="OSRRefH22x_0" localSheetId="61">'Div 6'!$H$34:$H$43,'Div 6'!$H$45:$H$54,'Div 6'!$H$56,'Div 6'!$H$58,'Div 6'!$H$60,'Div 6'!$H$62,'Div 6'!$H$64,'Div 6'!$H$66,'Div 6'!$H$68:$H$69,'Div 6'!$H$71</definedName>
    <definedName name="OSRRefH22x_0" localSheetId="2">Summary!$H$65:$H$74,Summary!$H$76:$H$85,Summary!$H$87,Summary!$H$89,Summary!$H$91,Summary!$H$93:$H$94,Summary!$H$96:$H$97,Summary!$H$99,Summary!$H$101,Summary!$H$103,Summary!$H$105:$H$106,Summary!$H$108:$H$109,Summary!$H$111,Summary!$H$113,Summary!$H$115,Summary!$H$117,Summary!$H$119,Summary!$H$121,Summary!$H$123:$H$126,Summary!$H$128:$H$131,Summary!$H$133:$H$137,Summary!$H$139:$H$140,Summary!$H$142:$H$151,Summary!$H$153:$H$154,Summary!$H$156,Summary!$H$158:$H$160,Summary!$H$162</definedName>
    <definedName name="OSRRefH25x_0" localSheetId="48">'300'!$H$141:$H$145</definedName>
    <definedName name="OSRRefH25x_0" localSheetId="49">'300 &amp; 317'!$H$147:$H$153</definedName>
    <definedName name="OSRRefH25x_0" localSheetId="50">'301'!$H$90:$H$91</definedName>
    <definedName name="OSRRefH25x_0" localSheetId="53">'308'!$H$81:$H$84</definedName>
    <definedName name="OSRRefH25x_0" localSheetId="71">'310 &amp; 491'!$H$103:$H$105</definedName>
    <definedName name="OSRRefH25x_0" localSheetId="54">'311'!$H$81:$H$84</definedName>
    <definedName name="OSRRefH25x_0" localSheetId="57">'315'!$H$102:$H$104</definedName>
    <definedName name="OSRRefH25x_0" localSheetId="60">'316'!$H$69</definedName>
    <definedName name="OSRRefH25x_0" localSheetId="62">'317'!$H$74:$H$76</definedName>
    <definedName name="OSRRefH25x_0" localSheetId="56">'331'!$H$114:$H$116</definedName>
    <definedName name="OSRRefH25x_0" localSheetId="59">'332'!$H$69</definedName>
    <definedName name="OSRRefH25x_0" localSheetId="74">'411'!$H$71</definedName>
    <definedName name="OSRRefH25x_0" localSheetId="77">'415'!$H$90</definedName>
    <definedName name="OSRRefH25x_0" localSheetId="82">'455'!$H$21:$H$22</definedName>
    <definedName name="OSRRefH25x_0" localSheetId="72">'491'!$H$99:$H$101</definedName>
    <definedName name="OSRRefH25x_0" localSheetId="89">'501'!$H$68</definedName>
    <definedName name="OSRRefH25x_0" localSheetId="47">'Div 3'!$H$150:$H$154</definedName>
    <definedName name="OSRRefH25x_0" localSheetId="70">'Div 4'!$H$109:$H$111</definedName>
    <definedName name="OSRRefH25x_0" localSheetId="88">'Div 5'!$H$68</definedName>
    <definedName name="OSRRefH25x_0" localSheetId="61">'Div 6'!$H$74:$H$76</definedName>
    <definedName name="OSRRefH25x_0" localSheetId="2">Summary!$H$165:$H$172</definedName>
    <definedName name="OSRRefP13x_0" localSheetId="48">'300'!$P$13:$P$18</definedName>
    <definedName name="OSRRefP13x_0" localSheetId="49">'300 &amp; 317'!$P$13:$P$18</definedName>
    <definedName name="OSRRefP13x_0" localSheetId="52">'307'!$P$13:$P$15</definedName>
    <definedName name="OSRRefP13x_0" localSheetId="53">'308'!$P$13:$P$16</definedName>
    <definedName name="OSRRefP13x_0" localSheetId="64">'310'!$P$13:$P$15</definedName>
    <definedName name="OSRRefP13x_0" localSheetId="71">'310 &amp; 491'!$P$13:$P$17</definedName>
    <definedName name="OSRRefP13x_0" localSheetId="54">'311'!$P$13:$P$16</definedName>
    <definedName name="OSRRefP13x_0" localSheetId="57">'315'!$P$13:$P$16</definedName>
    <definedName name="OSRRefP13x_0" localSheetId="60">'316'!$P$13:$P$17</definedName>
    <definedName name="OSRRefP13x_0" localSheetId="62">'317'!$P$13:$P$16</definedName>
    <definedName name="OSRRefP13x_0" localSheetId="67">'321'!$P$13:$P$14</definedName>
    <definedName name="OSRRefP13x_0" localSheetId="55">'324'!$P$13:$P$14</definedName>
    <definedName name="OSRRefP13x_0" localSheetId="68">'325'!$P$13:$P$14</definedName>
    <definedName name="OSRRefP13x_0" localSheetId="58">'326'!$P$13:$P$15</definedName>
    <definedName name="OSRRefP13x_0" localSheetId="69">'327'!$P$13:$P$14</definedName>
    <definedName name="OSRRefP13x_0" localSheetId="51">'330'!$P$13:$P$15</definedName>
    <definedName name="OSRRefP13x_0" localSheetId="56">'331'!$P$13:$P$16</definedName>
    <definedName name="OSRRefP13x_0" localSheetId="59">'332'!$P$13:$P$17</definedName>
    <definedName name="OSRRefP13x_0" localSheetId="73">'405'!$P$13:$P$16</definedName>
    <definedName name="OSRRefP13x_0" localSheetId="77">'415'!$P$13:$P$16</definedName>
    <definedName name="OSRRefP13x_0" localSheetId="78">'418'!$P$13:$P$14</definedName>
    <definedName name="OSRRefP13x_0" localSheetId="85">'433'!$P$13:$P$16</definedName>
    <definedName name="OSRRefP13x_0" localSheetId="86">'444'!$P$13:$P$16</definedName>
    <definedName name="OSRRefP13x_0" localSheetId="87">'450'!$P$13:$P$15</definedName>
    <definedName name="OSRRefP13x_0" localSheetId="72">'491'!$P$13:$P$16</definedName>
    <definedName name="OSRRefP13x_0" localSheetId="83">'492'!$P$13:$P$16</definedName>
    <definedName name="OSRRefP13x_0" localSheetId="89">'501'!$P$13</definedName>
    <definedName name="OSRRefP13x_0" localSheetId="47">'Div 3'!$P$13:$P$19</definedName>
    <definedName name="OSRRefP13x_0" localSheetId="70">'Div 4'!$P$13:$P$18</definedName>
    <definedName name="OSRRefP13x_0" localSheetId="88">'Div 5'!$P$13</definedName>
    <definedName name="OSRRefP13x_0" localSheetId="61">'Div 6'!$P$13:$P$16</definedName>
    <definedName name="OSRRefP13x_0" localSheetId="2">Summary!$P$13:$P$22</definedName>
    <definedName name="OSRRefP16x_0" localSheetId="48">'300'!$P$21:$P$47</definedName>
    <definedName name="OSRRefP16x_0" localSheetId="49">'300 &amp; 317'!$P$21:$P$53</definedName>
    <definedName name="OSRRefP16x_0" localSheetId="52">'307'!$P$18:$P$27</definedName>
    <definedName name="OSRRefP16x_0" localSheetId="53">'308'!$P$19:$P$28</definedName>
    <definedName name="OSRRefP16x_0" localSheetId="64">'310'!$P$18:$P$20</definedName>
    <definedName name="OSRRefP16x_0" localSheetId="71">'310 &amp; 491'!$P$20:$P$22</definedName>
    <definedName name="OSRRefP16x_0" localSheetId="54">'311'!$P$19:$P$28</definedName>
    <definedName name="OSRRefP16x_0" localSheetId="57">'315'!$P$19:$P$37</definedName>
    <definedName name="OSRRefP16x_0" localSheetId="60">'316'!$P$20</definedName>
    <definedName name="OSRRefP16x_0" localSheetId="62">'317'!$P$19:$P$28</definedName>
    <definedName name="OSRRefP16x_0" localSheetId="67">'321'!$P$17</definedName>
    <definedName name="OSRRefP16x_0" localSheetId="55">'324'!$P$17</definedName>
    <definedName name="OSRRefP16x_0" localSheetId="68">'325'!$P$17:$P$19</definedName>
    <definedName name="OSRRefP16x_0" localSheetId="58">'326'!$P$18:$P$19</definedName>
    <definedName name="OSRRefP16x_0" localSheetId="69">'327'!$P$17:$P$18</definedName>
    <definedName name="OSRRefP16x_0" localSheetId="51">'330'!$P$18:$P$27</definedName>
    <definedName name="OSRRefP16x_0" localSheetId="56">'331'!$P$19:$P$37</definedName>
    <definedName name="OSRRefP16x_0" localSheetId="59">'332'!$P$20</definedName>
    <definedName name="OSRRefP16x_0" localSheetId="73">'405'!$P$19:$P$21</definedName>
    <definedName name="OSRRefP16x_0" localSheetId="77">'415'!$P$19:$P$21</definedName>
    <definedName name="OSRRefP16x_0" localSheetId="78">'418'!$P$17:$P$18</definedName>
    <definedName name="OSRRefP16x_0" localSheetId="81">'425'!$P$15</definedName>
    <definedName name="OSRRefP16x_0" localSheetId="85">'433'!$P$19:$P$21</definedName>
    <definedName name="OSRRefP16x_0" localSheetId="86">'444'!$P$19:$P$21</definedName>
    <definedName name="OSRRefP16x_0" localSheetId="87">'450'!$P$18:$P$20</definedName>
    <definedName name="OSRRefP16x_0" localSheetId="72">'491'!$P$19:$P$21</definedName>
    <definedName name="OSRRefP16x_0" localSheetId="83">'492'!$P$19:$P$21</definedName>
    <definedName name="OSRRefP16x_0" localSheetId="47">'Div 3'!$P$22:$P$50</definedName>
    <definedName name="OSRRefP16x_0" localSheetId="70">'Div 4'!$P$21:$P$23</definedName>
    <definedName name="OSRRefP16x_0" localSheetId="61">'Div 6'!$P$19:$P$28</definedName>
    <definedName name="OSRRefP16x_0" localSheetId="2">Summary!$P$25:$P$59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'204'!$P$20:$P$28</definedName>
    <definedName name="OSRRefP22_0x_0" localSheetId="45">'205'!$P$20:$P$28</definedName>
    <definedName name="OSRRefP22_0x_0" localSheetId="46">'206'!$P$20:$P$28</definedName>
    <definedName name="OSRRefP22_0x_0" localSheetId="48">'300'!$P$53:$P$62</definedName>
    <definedName name="OSRRefP22_0x_0" localSheetId="49">'300 &amp; 317'!$P$59:$P$68</definedName>
    <definedName name="OSRRefP22_0x_0" localSheetId="50">'301'!$P$20:$P$29</definedName>
    <definedName name="OSRRefP22_0x_0" localSheetId="52">'307'!$P$33:$P$40</definedName>
    <definedName name="OSRRefP22_0x_0" localSheetId="53">'308'!$P$34:$P$43</definedName>
    <definedName name="OSRRefP22_0x_0" localSheetId="65">'309'!$P$20</definedName>
    <definedName name="OSRRefP22_0x_0" localSheetId="64">'310'!$P$26:$P$34</definedName>
    <definedName name="OSRRefP22_0x_0" localSheetId="71">'310 &amp; 491'!$P$28:$P$36</definedName>
    <definedName name="OSRRefP22_0x_0" localSheetId="54">'311'!$P$34:$P$43</definedName>
    <definedName name="OSRRefP22_0x_0" localSheetId="66">'313'!$P$20</definedName>
    <definedName name="OSRRefP22_0x_0" localSheetId="57">'315'!$P$43:$P$51</definedName>
    <definedName name="OSRRefP22_0x_0" localSheetId="60">'316'!$P$26:$P$34</definedName>
    <definedName name="OSRRefP22_0x_0" localSheetId="62">'317'!$P$34:$P$43</definedName>
    <definedName name="OSRRefP22_0x_0" localSheetId="67">'321'!$P$23:$P$31</definedName>
    <definedName name="OSRRefP22_0x_0" localSheetId="68">'325'!$P$25:$P$32</definedName>
    <definedName name="OSRRefP22_0x_0" localSheetId="58">'326'!$P$25:$P$33</definedName>
    <definedName name="OSRRefP22_0x_0" localSheetId="69">'327'!$P$24</definedName>
    <definedName name="OSRRefP22_0x_0" localSheetId="51">'330'!$P$33:$P$40</definedName>
    <definedName name="OSRRefP22_0x_0" localSheetId="56">'331'!$P$43:$P$51</definedName>
    <definedName name="OSRRefP22_0x_0" localSheetId="59">'332'!$P$26:$P$34</definedName>
    <definedName name="OSRRefP22_0x_0" localSheetId="73">'405'!$P$27:$P$35</definedName>
    <definedName name="OSRRefP22_0x_0" localSheetId="74">'411'!$P$20:$P$28</definedName>
    <definedName name="OSRRefP22_0x_0" localSheetId="75">'412'!$P$20</definedName>
    <definedName name="OSRRefP22_0x_0" localSheetId="76">'413'!$P$20</definedName>
    <definedName name="OSRRefP22_0x_0" localSheetId="77">'415'!$P$27:$P$35</definedName>
    <definedName name="OSRRefP22_0x_0" localSheetId="78">'418'!$P$24:$P$32</definedName>
    <definedName name="OSRRefP22_0x_0" localSheetId="79">'423'!$P$20:$P$27</definedName>
    <definedName name="OSRRefP22_0x_0" localSheetId="80">'424'!$P$20</definedName>
    <definedName name="OSRRefP22_0x_0" localSheetId="81">'425'!$P$21</definedName>
    <definedName name="OSRRefP22_0x_0" localSheetId="84">'430'!$P$20:$P$28</definedName>
    <definedName name="OSRRefP22_0x_0" localSheetId="85">'433'!$P$27:$P$36</definedName>
    <definedName name="OSRRefP22_0x_0" localSheetId="86">'444'!$P$27:$P$36</definedName>
    <definedName name="OSRRefP22_0x_0" localSheetId="87">'450'!$P$26:$P$35</definedName>
    <definedName name="OSRRefP22_0x_0" localSheetId="72">'491'!$P$27:$P$35</definedName>
    <definedName name="OSRRefP22_0x_0" localSheetId="83">'492'!$P$27:$P$36</definedName>
    <definedName name="OSRRefP22_0x_0" localSheetId="89">'501'!$P$21:$P$29</definedName>
    <definedName name="OSRRefP22_0x_0" localSheetId="39">'Div 2'!$P$20:$P$30</definedName>
    <definedName name="OSRRefP22_0x_0" localSheetId="47">'Div 3'!$P$56:$P$65</definedName>
    <definedName name="OSRRefP22_0x_0" localSheetId="70">'Div 4'!$P$29:$P$38</definedName>
    <definedName name="OSRRefP22_0x_0" localSheetId="88">'Div 5'!$P$21:$P$29</definedName>
    <definedName name="OSRRefP22_0x_0" localSheetId="61">'Div 6'!$P$34:$P$43</definedName>
    <definedName name="OSRRefP22_0x_0" localSheetId="2">Summary!$P$65:$P$74</definedName>
    <definedName name="OSRRefP22_10x_0" localSheetId="41">'201'!$P$58:$P$59</definedName>
    <definedName name="OSRRefP22_10x_0" localSheetId="42">'202'!$P$59</definedName>
    <definedName name="OSRRefP22_10x_0" localSheetId="43">'203'!$P$61</definedName>
    <definedName name="OSRRefP22_10x_0" localSheetId="48">'300'!$P$93:$P$94</definedName>
    <definedName name="OSRRefP22_10x_0" localSheetId="49">'300 &amp; 317'!$P$99:$P$100</definedName>
    <definedName name="OSRRefP22_10x_0" localSheetId="50">'301'!$P$59</definedName>
    <definedName name="OSRRefP22_10x_0" localSheetId="52">'307'!$P$70</definedName>
    <definedName name="OSRRefP22_10x_0" localSheetId="53">'308'!$P$74:$P$75</definedName>
    <definedName name="OSRRefP22_10x_0" localSheetId="64">'310'!$P$64:$P$65</definedName>
    <definedName name="OSRRefP22_10x_0" localSheetId="71">'310 &amp; 491'!$P$66</definedName>
    <definedName name="OSRRefP22_10x_0" localSheetId="54">'311'!$P$74:$P$75</definedName>
    <definedName name="OSRRefP22_10x_0" localSheetId="57">'315'!$P$81</definedName>
    <definedName name="OSRRefP22_10x_0" localSheetId="67">'321'!$P$64</definedName>
    <definedName name="OSRRefP22_10x_0" localSheetId="68">'325'!$P$62:$P$63</definedName>
    <definedName name="OSRRefP22_10x_0" localSheetId="58">'326'!$P$62</definedName>
    <definedName name="OSRRefP22_10x_0" localSheetId="51">'330'!$P$70</definedName>
    <definedName name="OSRRefP22_10x_0" localSheetId="56">'331'!$P$82</definedName>
    <definedName name="OSRRefP22_10x_0" localSheetId="73">'405'!$P$66:$P$69</definedName>
    <definedName name="OSRRefP22_10x_0" localSheetId="74">'411'!$P$62</definedName>
    <definedName name="OSRRefP22_10x_0" localSheetId="77">'415'!$P$65:$P$66</definedName>
    <definedName name="OSRRefP22_10x_0" localSheetId="78">'418'!$P$66</definedName>
    <definedName name="OSRRefP22_10x_0" localSheetId="85">'433'!$P$65:$P$67</definedName>
    <definedName name="OSRRefP22_10x_0" localSheetId="86">'444'!$P$65</definedName>
    <definedName name="OSRRefP22_10x_0" localSheetId="87">'450'!$P$64</definedName>
    <definedName name="OSRRefP22_10x_0" localSheetId="72">'491'!$P$65</definedName>
    <definedName name="OSRRefP22_10x_0" localSheetId="83">'492'!$P$65</definedName>
    <definedName name="OSRRefP22_10x_0" localSheetId="89">'501'!$P$60</definedName>
    <definedName name="OSRRefP22_10x_0" localSheetId="39">'Div 2'!$P$60</definedName>
    <definedName name="OSRRefP22_10x_0" localSheetId="47">'Div 3'!$P$96:$P$97</definedName>
    <definedName name="OSRRefP22_10x_0" localSheetId="70">'Div 4'!$P$68</definedName>
    <definedName name="OSRRefP22_10x_0" localSheetId="88">'Div 5'!$P$60</definedName>
    <definedName name="OSRRefP22_10x_0" localSheetId="2">Summary!$P$105:$P$106</definedName>
    <definedName name="OSRRefP22_11x_0" localSheetId="41">'201'!$P$61</definedName>
    <definedName name="OSRRefP22_11x_0" localSheetId="42">'202'!$P$61</definedName>
    <definedName name="OSRRefP22_11x_0" localSheetId="43">'203'!$P$63:$P$66</definedName>
    <definedName name="OSRRefP22_11x_0" localSheetId="48">'300'!$P$96:$P$97</definedName>
    <definedName name="OSRRefP22_11x_0" localSheetId="49">'300 &amp; 317'!$P$102:$P$103</definedName>
    <definedName name="OSRRefP22_11x_0" localSheetId="50">'301'!$P$61</definedName>
    <definedName name="OSRRefP22_11x_0" localSheetId="52">'307'!$P$72:$P$74</definedName>
    <definedName name="OSRRefP22_11x_0" localSheetId="53">'308'!$P$77:$P$78</definedName>
    <definedName name="OSRRefP22_11x_0" localSheetId="64">'310'!$P$67</definedName>
    <definedName name="OSRRefP22_11x_0" localSheetId="71">'310 &amp; 491'!$P$68</definedName>
    <definedName name="OSRRefP22_11x_0" localSheetId="54">'311'!$P$77:$P$78</definedName>
    <definedName name="OSRRefP22_11x_0" localSheetId="57">'315'!$P$83:$P$84</definedName>
    <definedName name="OSRRefP22_11x_0" localSheetId="67">'321'!$P$66</definedName>
    <definedName name="OSRRefP22_11x_0" localSheetId="68">'325'!$P$65:$P$67</definedName>
    <definedName name="OSRRefP22_11x_0" localSheetId="58">'326'!$P$64:$P$65</definedName>
    <definedName name="OSRRefP22_11x_0" localSheetId="51">'330'!$P$72:$P$74</definedName>
    <definedName name="OSRRefP22_11x_0" localSheetId="56">'331'!$P$84</definedName>
    <definedName name="OSRRefP22_11x_0" localSheetId="73">'405'!$P$71</definedName>
    <definedName name="OSRRefP22_11x_0" localSheetId="74">'411'!$P$64</definedName>
    <definedName name="OSRRefP22_11x_0" localSheetId="77">'415'!$P$68:$P$71</definedName>
    <definedName name="OSRRefP22_11x_0" localSheetId="78">'418'!$P$68:$P$75</definedName>
    <definedName name="OSRRefP22_11x_0" localSheetId="85">'433'!$P$69:$P$72</definedName>
    <definedName name="OSRRefP22_11x_0" localSheetId="86">'444'!$P$67:$P$68</definedName>
    <definedName name="OSRRefP22_11x_0" localSheetId="87">'450'!$P$66:$P$67</definedName>
    <definedName name="OSRRefP22_11x_0" localSheetId="72">'491'!$P$67</definedName>
    <definedName name="OSRRefP22_11x_0" localSheetId="83">'492'!$P$67</definedName>
    <definedName name="OSRRefP22_11x_0" localSheetId="89">'501'!$P$62:$P$63</definedName>
    <definedName name="OSRRefP22_11x_0" localSheetId="39">'Div 2'!$P$62</definedName>
    <definedName name="OSRRefP22_11x_0" localSheetId="47">'Div 3'!$P$99:$P$100</definedName>
    <definedName name="OSRRefP22_11x_0" localSheetId="70">'Div 4'!$P$70</definedName>
    <definedName name="OSRRefP22_11x_0" localSheetId="88">'Div 5'!$P$62:$P$63</definedName>
    <definedName name="OSRRefP22_11x_0" localSheetId="2">Summary!$P$108:$P$109</definedName>
    <definedName name="OSRRefP22_12x_0" localSheetId="43">'203'!$P$68</definedName>
    <definedName name="OSRRefP22_12x_0" localSheetId="48">'300'!$P$99</definedName>
    <definedName name="OSRRefP22_12x_0" localSheetId="49">'300 &amp; 317'!$P$105</definedName>
    <definedName name="OSRRefP22_12x_0" localSheetId="50">'301'!$P$63</definedName>
    <definedName name="OSRRefP22_12x_0" localSheetId="52">'307'!$P$76</definedName>
    <definedName name="OSRRefP22_12x_0" localSheetId="64">'310'!$P$69:$P$71</definedName>
    <definedName name="OSRRefP22_12x_0" localSheetId="71">'310 &amp; 491'!$P$70:$P$72</definedName>
    <definedName name="OSRRefP22_12x_0" localSheetId="57">'315'!$P$86:$P$88</definedName>
    <definedName name="OSRRefP22_12x_0" localSheetId="68">'325'!$P$69:$P$73</definedName>
    <definedName name="OSRRefP22_12x_0" localSheetId="58">'326'!$P$67:$P$68</definedName>
    <definedName name="OSRRefP22_12x_0" localSheetId="51">'330'!$P$76</definedName>
    <definedName name="OSRRefP22_12x_0" localSheetId="56">'331'!$P$86</definedName>
    <definedName name="OSRRefP22_12x_0" localSheetId="73">'405'!$P$73:$P$80</definedName>
    <definedName name="OSRRefP22_12x_0" localSheetId="74">'411'!$P$66</definedName>
    <definedName name="OSRRefP22_12x_0" localSheetId="77">'415'!$P$73</definedName>
    <definedName name="OSRRefP22_12x_0" localSheetId="78">'418'!$P$77:$P$78</definedName>
    <definedName name="OSRRefP22_12x_0" localSheetId="85">'433'!$P$74:$P$79</definedName>
    <definedName name="OSRRefP22_12x_0" localSheetId="86">'444'!$P$70:$P$73</definedName>
    <definedName name="OSRRefP22_12x_0" localSheetId="87">'450'!$P$69:$P$72</definedName>
    <definedName name="OSRRefP22_12x_0" localSheetId="72">'491'!$P$69:$P$71</definedName>
    <definedName name="OSRRefP22_12x_0" localSheetId="83">'492'!$P$69:$P$71</definedName>
    <definedName name="OSRRefP22_12x_0" localSheetId="89">'501'!$P$65</definedName>
    <definedName name="OSRRefP22_12x_0" localSheetId="39">'Div 2'!$P$64:$P$67</definedName>
    <definedName name="OSRRefP22_12x_0" localSheetId="47">'Div 3'!$P$102</definedName>
    <definedName name="OSRRefP22_12x_0" localSheetId="70">'Div 4'!$P$72</definedName>
    <definedName name="OSRRefP22_12x_0" localSheetId="88">'Div 5'!$P$65</definedName>
    <definedName name="OSRRefP22_12x_0" localSheetId="2">Summary!$P$111</definedName>
    <definedName name="OSRRefP22_13x_0" localSheetId="43">'203'!$P$70</definedName>
    <definedName name="OSRRefP22_13x_0" localSheetId="48">'300'!$P$101</definedName>
    <definedName name="OSRRefP22_13x_0" localSheetId="49">'300 &amp; 317'!$P$107</definedName>
    <definedName name="OSRRefP22_13x_0" localSheetId="50">'301'!$P$65</definedName>
    <definedName name="OSRRefP22_13x_0" localSheetId="64">'310'!$P$73:$P$77</definedName>
    <definedName name="OSRRefP22_13x_0" localSheetId="71">'310 &amp; 491'!$P$74</definedName>
    <definedName name="OSRRefP22_13x_0" localSheetId="57">'315'!$P$90:$P$91</definedName>
    <definedName name="OSRRefP22_13x_0" localSheetId="68">'325'!$P$75:$P$76</definedName>
    <definedName name="OSRRefP22_13x_0" localSheetId="58">'326'!$P$70:$P$71</definedName>
    <definedName name="OSRRefP22_13x_0" localSheetId="56">'331'!$P$88:$P$89</definedName>
    <definedName name="OSRRefP22_13x_0" localSheetId="73">'405'!$P$82</definedName>
    <definedName name="OSRRefP22_13x_0" localSheetId="74">'411'!$P$68</definedName>
    <definedName name="OSRRefP22_13x_0" localSheetId="77">'415'!$P$75:$P$80</definedName>
    <definedName name="OSRRefP22_13x_0" localSheetId="78">'418'!$P$80</definedName>
    <definedName name="OSRRefP22_13x_0" localSheetId="85">'433'!$P$81</definedName>
    <definedName name="OSRRefP22_13x_0" localSheetId="86">'444'!$P$75:$P$80</definedName>
    <definedName name="OSRRefP22_13x_0" localSheetId="87">'450'!$P$74:$P$79</definedName>
    <definedName name="OSRRefP22_13x_0" localSheetId="72">'491'!$P$73:$P$77</definedName>
    <definedName name="OSRRefP22_13x_0" localSheetId="83">'492'!$P$73:$P$76</definedName>
    <definedName name="OSRRefP22_13x_0" localSheetId="39">'Div 2'!$P$69:$P$72</definedName>
    <definedName name="OSRRefP22_13x_0" localSheetId="47">'Div 3'!$P$104</definedName>
    <definedName name="OSRRefP22_13x_0" localSheetId="70">'Div 4'!$P$74</definedName>
    <definedName name="OSRRefP22_13x_0" localSheetId="2">Summary!$P$113</definedName>
    <definedName name="OSRRefP22_14x_0" localSheetId="48">'300'!$P$103</definedName>
    <definedName name="OSRRefP22_14x_0" localSheetId="49">'300 &amp; 317'!$P$109</definedName>
    <definedName name="OSRRefP22_14x_0" localSheetId="50">'301'!$P$67:$P$70</definedName>
    <definedName name="OSRRefP22_14x_0" localSheetId="64">'310'!$P$79:$P$80</definedName>
    <definedName name="OSRRefP22_14x_0" localSheetId="71">'310 &amp; 491'!$P$76:$P$80</definedName>
    <definedName name="OSRRefP22_14x_0" localSheetId="57">'315'!$P$93:$P$95</definedName>
    <definedName name="OSRRefP22_14x_0" localSheetId="68">'325'!$P$78</definedName>
    <definedName name="OSRRefP22_14x_0" localSheetId="58">'326'!$P$73:$P$75</definedName>
    <definedName name="OSRRefP22_14x_0" localSheetId="56">'331'!$P$91:$P$93</definedName>
    <definedName name="OSRRefP22_14x_0" localSheetId="73">'405'!$P$84</definedName>
    <definedName name="OSRRefP22_14x_0" localSheetId="77">'415'!$P$82:$P$83</definedName>
    <definedName name="OSRRefP22_14x_0" localSheetId="78">'418'!$P$82</definedName>
    <definedName name="OSRRefP22_14x_0" localSheetId="86">'444'!$P$82</definedName>
    <definedName name="OSRRefP22_14x_0" localSheetId="87">'450'!$P$81</definedName>
    <definedName name="OSRRefP22_14x_0" localSheetId="72">'491'!$P$79</definedName>
    <definedName name="OSRRefP22_14x_0" localSheetId="83">'492'!$P$78:$P$84</definedName>
    <definedName name="OSRRefP22_14x_0" localSheetId="39">'Div 2'!$P$74:$P$75</definedName>
    <definedName name="OSRRefP22_14x_0" localSheetId="47">'Div 3'!$P$106</definedName>
    <definedName name="OSRRefP22_14x_0" localSheetId="70">'Div 4'!$P$76:$P$78</definedName>
    <definedName name="OSRRefP22_14x_0" localSheetId="2">Summary!$P$115</definedName>
    <definedName name="OSRRefP22_15x_0" localSheetId="48">'300'!$P$105</definedName>
    <definedName name="OSRRefP22_15x_0" localSheetId="49">'300 &amp; 317'!$P$111</definedName>
    <definedName name="OSRRefP22_15x_0" localSheetId="50">'301'!$P$72:$P$73</definedName>
    <definedName name="OSRRefP22_15x_0" localSheetId="64">'310'!$P$82</definedName>
    <definedName name="OSRRefP22_15x_0" localSheetId="71">'310 &amp; 491'!$P$82</definedName>
    <definedName name="OSRRefP22_15x_0" localSheetId="57">'315'!$P$97</definedName>
    <definedName name="OSRRefP22_15x_0" localSheetId="58">'326'!$P$77</definedName>
    <definedName name="OSRRefP22_15x_0" localSheetId="56">'331'!$P$95:$P$96</definedName>
    <definedName name="OSRRefP22_15x_0" localSheetId="77">'415'!$P$85</definedName>
    <definedName name="OSRRefP22_15x_0" localSheetId="86">'444'!$P$84</definedName>
    <definedName name="OSRRefP22_15x_0" localSheetId="87">'450'!$P$83</definedName>
    <definedName name="OSRRefP22_15x_0" localSheetId="72">'491'!$P$81:$P$89</definedName>
    <definedName name="OSRRefP22_15x_0" localSheetId="83">'492'!$P$86:$P$87</definedName>
    <definedName name="OSRRefP22_15x_0" localSheetId="39">'Div 2'!$P$77</definedName>
    <definedName name="OSRRefP22_15x_0" localSheetId="47">'Div 3'!$P$108</definedName>
    <definedName name="OSRRefP22_15x_0" localSheetId="70">'Div 4'!$P$80:$P$84</definedName>
    <definedName name="OSRRefP22_15x_0" localSheetId="2">Summary!$P$117</definedName>
    <definedName name="OSRRefP22_16x_0" localSheetId="48">'300'!$P$107:$P$110</definedName>
    <definedName name="OSRRefP22_16x_0" localSheetId="49">'300 &amp; 317'!$P$113:$P$116</definedName>
    <definedName name="OSRRefP22_16x_0" localSheetId="50">'301'!$P$75</definedName>
    <definedName name="OSRRefP22_16x_0" localSheetId="64">'310'!$P$84</definedName>
    <definedName name="OSRRefP22_16x_0" localSheetId="71">'310 &amp; 491'!$P$84:$P$93</definedName>
    <definedName name="OSRRefP22_16x_0" localSheetId="57">'315'!$P$99</definedName>
    <definedName name="OSRRefP22_16x_0" localSheetId="58">'326'!$P$79:$P$80</definedName>
    <definedName name="OSRRefP22_16x_0" localSheetId="56">'331'!$P$98:$P$99</definedName>
    <definedName name="OSRRefP22_16x_0" localSheetId="77">'415'!$P$87</definedName>
    <definedName name="OSRRefP22_16x_0" localSheetId="72">'491'!$P$91:$P$92</definedName>
    <definedName name="OSRRefP22_16x_0" localSheetId="83">'492'!$P$89</definedName>
    <definedName name="OSRRefP22_16x_0" localSheetId="39">'Div 2'!$P$79:$P$84</definedName>
    <definedName name="OSRRefP22_16x_0" localSheetId="47">'Div 3'!$P$110</definedName>
    <definedName name="OSRRefP22_16x_0" localSheetId="70">'Div 4'!$P$86</definedName>
    <definedName name="OSRRefP22_16x_0" localSheetId="2">Summary!$P$119</definedName>
    <definedName name="OSRRefP22_17x_0" localSheetId="48">'300'!$P$112:$P$115</definedName>
    <definedName name="OSRRefP22_17x_0" localSheetId="49">'300 &amp; 317'!$P$118:$P$121</definedName>
    <definedName name="OSRRefP22_17x_0" localSheetId="50">'301'!$P$77:$P$81</definedName>
    <definedName name="OSRRefP22_17x_0" localSheetId="71">'310 &amp; 491'!$P$95:$P$96</definedName>
    <definedName name="OSRRefP22_17x_0" localSheetId="58">'326'!$P$82</definedName>
    <definedName name="OSRRefP22_17x_0" localSheetId="56">'331'!$P$101:$P$104</definedName>
    <definedName name="OSRRefP22_17x_0" localSheetId="72">'491'!$P$94</definedName>
    <definedName name="OSRRefP22_17x_0" localSheetId="83">'492'!$P$91</definedName>
    <definedName name="OSRRefP22_17x_0" localSheetId="39">'Div 2'!$P$86:$P$87</definedName>
    <definedName name="OSRRefP22_17x_0" localSheetId="47">'Div 3'!$P$112:$P$115</definedName>
    <definedName name="OSRRefP22_17x_0" localSheetId="70">'Div 4'!$P$88:$P$97</definedName>
    <definedName name="OSRRefP22_17x_0" localSheetId="2">Summary!$P$121</definedName>
    <definedName name="OSRRefP22_18x_0" localSheetId="48">'300'!$P$117:$P$119</definedName>
    <definedName name="OSRRefP22_18x_0" localSheetId="49">'300 &amp; 317'!$P$123:$P$125</definedName>
    <definedName name="OSRRefP22_18x_0" localSheetId="50">'301'!$P$83</definedName>
    <definedName name="OSRRefP22_18x_0" localSheetId="71">'310 &amp; 491'!$P$98</definedName>
    <definedName name="OSRRefP22_18x_0" localSheetId="56">'331'!$P$106</definedName>
    <definedName name="OSRRefP22_18x_0" localSheetId="72">'491'!$P$96</definedName>
    <definedName name="OSRRefP22_18x_0" localSheetId="39">'Div 2'!$P$89</definedName>
    <definedName name="OSRRefP22_18x_0" localSheetId="47">'Div 3'!$P$117:$P$120</definedName>
    <definedName name="OSRRefP22_18x_0" localSheetId="70">'Div 4'!$P$99:$P$100</definedName>
    <definedName name="OSRRefP22_18x_0" localSheetId="2">Summary!$P$123:$P$126</definedName>
    <definedName name="OSRRefP22_19x_0" localSheetId="48">'300'!$P$121:$P$122</definedName>
    <definedName name="OSRRefP22_19x_0" localSheetId="49">'300 &amp; 317'!$P$127:$P$128</definedName>
    <definedName name="OSRRefP22_19x_0" localSheetId="50">'301'!$P$85</definedName>
    <definedName name="OSRRefP22_19x_0" localSheetId="71">'310 &amp; 491'!$P$100</definedName>
    <definedName name="OSRRefP22_19x_0" localSheetId="56">'331'!$P$108:$P$109</definedName>
    <definedName name="OSRRefP22_19x_0" localSheetId="39">'Div 2'!$P$91</definedName>
    <definedName name="OSRRefP22_19x_0" localSheetId="47">'Div 3'!$P$122:$P$125</definedName>
    <definedName name="OSRRefP22_19x_0" localSheetId="70">'Div 4'!$P$102</definedName>
    <definedName name="OSRRefP22_19x_0" localSheetId="2">Summary!$P$128:$P$131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'204'!$P$30:$P$39</definedName>
    <definedName name="OSRRefP22_1x_0" localSheetId="45">'205'!$P$30:$P$39</definedName>
    <definedName name="OSRRefP22_1x_0" localSheetId="46">'206'!$P$30:$P$39</definedName>
    <definedName name="OSRRefP22_1x_0" localSheetId="48">'300'!$P$64:$P$73</definedName>
    <definedName name="OSRRefP22_1x_0" localSheetId="49">'300 &amp; 317'!$P$70:$P$79</definedName>
    <definedName name="OSRRefP22_1x_0" localSheetId="50">'301'!$P$31:$P$40</definedName>
    <definedName name="OSRRefP22_1x_0" localSheetId="52">'307'!$P$42:$P$51</definedName>
    <definedName name="OSRRefP22_1x_0" localSheetId="53">'308'!$P$45:$P$54</definedName>
    <definedName name="OSRRefP22_1x_0" localSheetId="65">'309'!$P$22:$P$23</definedName>
    <definedName name="OSRRefP22_1x_0" localSheetId="64">'310'!$P$36:$P$45</definedName>
    <definedName name="OSRRefP22_1x_0" localSheetId="71">'310 &amp; 491'!$P$38:$P$47</definedName>
    <definedName name="OSRRefP22_1x_0" localSheetId="54">'311'!$P$45:$P$54</definedName>
    <definedName name="OSRRefP22_1x_0" localSheetId="66">'313'!$P$22</definedName>
    <definedName name="OSRRefP22_1x_0" localSheetId="57">'315'!$P$53:$P$62</definedName>
    <definedName name="OSRRefP22_1x_0" localSheetId="60">'316'!$P$36:$P$45</definedName>
    <definedName name="OSRRefP22_1x_0" localSheetId="62">'317'!$P$45:$P$54</definedName>
    <definedName name="OSRRefP22_1x_0" localSheetId="67">'321'!$P$33:$P$42</definedName>
    <definedName name="OSRRefP22_1x_0" localSheetId="68">'325'!$P$34:$P$43</definedName>
    <definedName name="OSRRefP22_1x_0" localSheetId="58">'326'!$P$35:$P$44</definedName>
    <definedName name="OSRRefP22_1x_0" localSheetId="51">'330'!$P$42:$P$51</definedName>
    <definedName name="OSRRefP22_1x_0" localSheetId="56">'331'!$P$53:$P$62</definedName>
    <definedName name="OSRRefP22_1x_0" localSheetId="59">'332'!$P$36:$P$45</definedName>
    <definedName name="OSRRefP22_1x_0" localSheetId="73">'405'!$P$37:$P$46</definedName>
    <definedName name="OSRRefP22_1x_0" localSheetId="74">'411'!$P$30:$P$39</definedName>
    <definedName name="OSRRefP22_1x_0" localSheetId="75">'412'!$P$22</definedName>
    <definedName name="OSRRefP22_1x_0" localSheetId="76">'413'!$P$22</definedName>
    <definedName name="OSRRefP22_1x_0" localSheetId="77">'415'!$P$37:$P$46</definedName>
    <definedName name="OSRRefP22_1x_0" localSheetId="78">'418'!$P$34:$P$43</definedName>
    <definedName name="OSRRefP22_1x_0" localSheetId="79">'423'!$P$29:$P$38</definedName>
    <definedName name="OSRRefP22_1x_0" localSheetId="80">'424'!$P$22</definedName>
    <definedName name="OSRRefP22_1x_0" localSheetId="81">'425'!$P$23</definedName>
    <definedName name="OSRRefP22_1x_0" localSheetId="84">'430'!$P$30:$P$39</definedName>
    <definedName name="OSRRefP22_1x_0" localSheetId="85">'433'!$P$38:$P$47</definedName>
    <definedName name="OSRRefP22_1x_0" localSheetId="86">'444'!$P$38:$P$47</definedName>
    <definedName name="OSRRefP22_1x_0" localSheetId="87">'450'!$P$37:$P$46</definedName>
    <definedName name="OSRRefP22_1x_0" localSheetId="72">'491'!$P$37:$P$46</definedName>
    <definedName name="OSRRefP22_1x_0" localSheetId="83">'492'!$P$38:$P$47</definedName>
    <definedName name="OSRRefP22_1x_0" localSheetId="89">'501'!$P$31:$P$40</definedName>
    <definedName name="OSRRefP22_1x_0" localSheetId="39">'Div 2'!$P$32:$P$41</definedName>
    <definedName name="OSRRefP22_1x_0" localSheetId="47">'Div 3'!$P$67:$P$76</definedName>
    <definedName name="OSRRefP22_1x_0" localSheetId="70">'Div 4'!$P$40:$P$49</definedName>
    <definedName name="OSRRefP22_1x_0" localSheetId="88">'Div 5'!$P$31:$P$40</definedName>
    <definedName name="OSRRefP22_1x_0" localSheetId="61">'Div 6'!$P$45:$P$54</definedName>
    <definedName name="OSRRefP22_1x_0" localSheetId="2">Summary!$P$76:$P$85</definedName>
    <definedName name="OSRRefP22_20x_0" localSheetId="48">'300'!$P$124:$P$129</definedName>
    <definedName name="OSRRefP22_20x_0" localSheetId="49">'300 &amp; 317'!$P$130:$P$135</definedName>
    <definedName name="OSRRefP22_20x_0" localSheetId="50">'301'!$P$87</definedName>
    <definedName name="OSRRefP22_20x_0" localSheetId="56">'331'!$P$111</definedName>
    <definedName name="OSRRefP22_20x_0" localSheetId="47">'Div 3'!$P$127:$P$128</definedName>
    <definedName name="OSRRefP22_20x_0" localSheetId="70">'Div 4'!$P$104</definedName>
    <definedName name="OSRRefP22_20x_0" localSheetId="2">Summary!$P$133:$P$137</definedName>
    <definedName name="OSRRefP22_21x_0" localSheetId="48">'300'!$P$131:$P$132</definedName>
    <definedName name="OSRRefP22_21x_0" localSheetId="49">'300 &amp; 317'!$P$137:$P$138</definedName>
    <definedName name="OSRRefP22_21x_0" localSheetId="47">'Div 3'!$P$130:$P$136</definedName>
    <definedName name="OSRRefP22_21x_0" localSheetId="70">'Div 4'!$P$106</definedName>
    <definedName name="OSRRefP22_21x_0" localSheetId="2">Summary!$P$139:$P$140</definedName>
    <definedName name="OSRRefP22_22x_0" localSheetId="48">'300'!$P$134:$P$136</definedName>
    <definedName name="OSRRefP22_22x_0" localSheetId="49">'300 &amp; 317'!$P$140:$P$142</definedName>
    <definedName name="OSRRefP22_22x_0" localSheetId="47">'Div 3'!$P$138:$P$139</definedName>
    <definedName name="OSRRefP22_22x_0" localSheetId="2">Summary!$P$142:$P$151</definedName>
    <definedName name="OSRRefP22_23x_0" localSheetId="48">'300'!$P$138</definedName>
    <definedName name="OSRRefP22_23x_0" localSheetId="49">'300 &amp; 317'!$P$144</definedName>
    <definedName name="OSRRefP22_23x_0" localSheetId="47">'Div 3'!$P$141</definedName>
    <definedName name="OSRRefP22_23x_0" localSheetId="2">Summary!$P$153:$P$154</definedName>
    <definedName name="OSRRefP22_24x_0" localSheetId="47">'Div 3'!$P$143:$P$145</definedName>
    <definedName name="OSRRefP22_24x_0" localSheetId="2">Summary!$P$156</definedName>
    <definedName name="OSRRefP22_25x_0" localSheetId="47">'Div 3'!$P$147</definedName>
    <definedName name="OSRRefP22_25x_0" localSheetId="2">Summary!$P$158:$P$160</definedName>
    <definedName name="OSRRefP22_26x_0" localSheetId="2">Summary!$P$162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'204'!$P$41</definedName>
    <definedName name="OSRRefP22_2x_0" localSheetId="45">'205'!$P$41</definedName>
    <definedName name="OSRRefP22_2x_0" localSheetId="46">'206'!$P$41</definedName>
    <definedName name="OSRRefP22_2x_0" localSheetId="48">'300'!$P$75</definedName>
    <definedName name="OSRRefP22_2x_0" localSheetId="49">'300 &amp; 317'!$P$81</definedName>
    <definedName name="OSRRefP22_2x_0" localSheetId="50">'301'!$P$42</definedName>
    <definedName name="OSRRefP22_2x_0" localSheetId="52">'307'!$P$53</definedName>
    <definedName name="OSRRefP22_2x_0" localSheetId="53">'308'!$P$56</definedName>
    <definedName name="OSRRefP22_2x_0" localSheetId="65">'309'!$P$25</definedName>
    <definedName name="OSRRefP22_2x_0" localSheetId="64">'310'!$P$47</definedName>
    <definedName name="OSRRefP22_2x_0" localSheetId="71">'310 &amp; 491'!$P$49</definedName>
    <definedName name="OSRRefP22_2x_0" localSheetId="54">'311'!$P$56</definedName>
    <definedName name="OSRRefP22_2x_0" localSheetId="57">'315'!$P$64</definedName>
    <definedName name="OSRRefP22_2x_0" localSheetId="60">'316'!$P$47</definedName>
    <definedName name="OSRRefP22_2x_0" localSheetId="62">'317'!$P$56</definedName>
    <definedName name="OSRRefP22_2x_0" localSheetId="67">'321'!$P$44</definedName>
    <definedName name="OSRRefP22_2x_0" localSheetId="68">'325'!$P$45</definedName>
    <definedName name="OSRRefP22_2x_0" localSheetId="58">'326'!$P$46</definedName>
    <definedName name="OSRRefP22_2x_0" localSheetId="51">'330'!$P$53</definedName>
    <definedName name="OSRRefP22_2x_0" localSheetId="56">'331'!$P$64</definedName>
    <definedName name="OSRRefP22_2x_0" localSheetId="59">'332'!$P$47</definedName>
    <definedName name="OSRRefP22_2x_0" localSheetId="73">'405'!$P$48</definedName>
    <definedName name="OSRRefP22_2x_0" localSheetId="74">'411'!$P$41</definedName>
    <definedName name="OSRRefP22_2x_0" localSheetId="75">'412'!$P$24</definedName>
    <definedName name="OSRRefP22_2x_0" localSheetId="77">'415'!$P$48</definedName>
    <definedName name="OSRRefP22_2x_0" localSheetId="78">'418'!$P$45</definedName>
    <definedName name="OSRRefP22_2x_0" localSheetId="79">'423'!$P$40</definedName>
    <definedName name="OSRRefP22_2x_0" localSheetId="84">'430'!$P$41</definedName>
    <definedName name="OSRRefP22_2x_0" localSheetId="85">'433'!$P$49</definedName>
    <definedName name="OSRRefP22_2x_0" localSheetId="86">'444'!$P$49</definedName>
    <definedName name="OSRRefP22_2x_0" localSheetId="87">'450'!$P$48</definedName>
    <definedName name="OSRRefP22_2x_0" localSheetId="72">'491'!$P$48</definedName>
    <definedName name="OSRRefP22_2x_0" localSheetId="83">'492'!$P$49</definedName>
    <definedName name="OSRRefP22_2x_0" localSheetId="89">'501'!$P$42</definedName>
    <definedName name="OSRRefP22_2x_0" localSheetId="39">'Div 2'!$P$43</definedName>
    <definedName name="OSRRefP22_2x_0" localSheetId="47">'Div 3'!$P$78</definedName>
    <definedName name="OSRRefP22_2x_0" localSheetId="70">'Div 4'!$P$51</definedName>
    <definedName name="OSRRefP22_2x_0" localSheetId="88">'Div 5'!$P$42</definedName>
    <definedName name="OSRRefP22_2x_0" localSheetId="61">'Div 6'!$P$56</definedName>
    <definedName name="OSRRefP22_2x_0" localSheetId="2">Summary!$P$87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'204'!$P$43:$P$44</definedName>
    <definedName name="OSRRefP22_3x_0" localSheetId="45">'205'!$P$43</definedName>
    <definedName name="OSRRefP22_3x_0" localSheetId="46">'206'!$P$43</definedName>
    <definedName name="OSRRefP22_3x_0" localSheetId="48">'300'!$P$77</definedName>
    <definedName name="OSRRefP22_3x_0" localSheetId="49">'300 &amp; 317'!$P$83</definedName>
    <definedName name="OSRRefP22_3x_0" localSheetId="50">'301'!$P$44</definedName>
    <definedName name="OSRRefP22_3x_0" localSheetId="52">'307'!$P$55</definedName>
    <definedName name="OSRRefP22_3x_0" localSheetId="53">'308'!$P$58</definedName>
    <definedName name="OSRRefP22_3x_0" localSheetId="64">'310'!$P$49</definedName>
    <definedName name="OSRRefP22_3x_0" localSheetId="71">'310 &amp; 491'!$P$51</definedName>
    <definedName name="OSRRefP22_3x_0" localSheetId="54">'311'!$P$58</definedName>
    <definedName name="OSRRefP22_3x_0" localSheetId="57">'315'!$P$66</definedName>
    <definedName name="OSRRefP22_3x_0" localSheetId="60">'316'!$P$49</definedName>
    <definedName name="OSRRefP22_3x_0" localSheetId="62">'317'!$P$58</definedName>
    <definedName name="OSRRefP22_3x_0" localSheetId="67">'321'!$P$46</definedName>
    <definedName name="OSRRefP22_3x_0" localSheetId="68">'325'!$P$47</definedName>
    <definedName name="OSRRefP22_3x_0" localSheetId="58">'326'!$P$48</definedName>
    <definedName name="OSRRefP22_3x_0" localSheetId="51">'330'!$P$55</definedName>
    <definedName name="OSRRefP22_3x_0" localSheetId="56">'331'!$P$66</definedName>
    <definedName name="OSRRefP22_3x_0" localSheetId="59">'332'!$P$49</definedName>
    <definedName name="OSRRefP22_3x_0" localSheetId="73">'405'!$P$50</definedName>
    <definedName name="OSRRefP22_3x_0" localSheetId="74">'411'!$P$43:$P$44</definedName>
    <definedName name="OSRRefP22_3x_0" localSheetId="77">'415'!$P$50</definedName>
    <definedName name="OSRRefP22_3x_0" localSheetId="78">'418'!$P$47</definedName>
    <definedName name="OSRRefP22_3x_0" localSheetId="79">'423'!$P$42</definedName>
    <definedName name="OSRRefP22_3x_0" localSheetId="84">'430'!$P$43</definedName>
    <definedName name="OSRRefP22_3x_0" localSheetId="85">'433'!$P$51</definedName>
    <definedName name="OSRRefP22_3x_0" localSheetId="86">'444'!$P$51</definedName>
    <definedName name="OSRRefP22_3x_0" localSheetId="87">'450'!$P$50</definedName>
    <definedName name="OSRRefP22_3x_0" localSheetId="72">'491'!$P$50</definedName>
    <definedName name="OSRRefP22_3x_0" localSheetId="83">'492'!$P$51</definedName>
    <definedName name="OSRRefP22_3x_0" localSheetId="89">'501'!$P$44</definedName>
    <definedName name="OSRRefP22_3x_0" localSheetId="39">'Div 2'!$P$45</definedName>
    <definedName name="OSRRefP22_3x_0" localSheetId="47">'Div 3'!$P$80</definedName>
    <definedName name="OSRRefP22_3x_0" localSheetId="70">'Div 4'!$P$53</definedName>
    <definedName name="OSRRefP22_3x_0" localSheetId="88">'Div 5'!$P$44</definedName>
    <definedName name="OSRRefP22_3x_0" localSheetId="61">'Div 6'!$P$58</definedName>
    <definedName name="OSRRefP22_3x_0" localSheetId="2">Summary!$P$89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'205'!$P$45:$P$46</definedName>
    <definedName name="OSRRefP22_4x_0" localSheetId="46">'206'!$P$45:$P$46</definedName>
    <definedName name="OSRRefP22_4x_0" localSheetId="48">'300'!$P$79</definedName>
    <definedName name="OSRRefP22_4x_0" localSheetId="49">'300 &amp; 317'!$P$85</definedName>
    <definedName name="OSRRefP22_4x_0" localSheetId="50">'301'!$P$46</definedName>
    <definedName name="OSRRefP22_4x_0" localSheetId="52">'307'!$P$57</definedName>
    <definedName name="OSRRefP22_4x_0" localSheetId="53">'308'!$P$60</definedName>
    <definedName name="OSRRefP22_4x_0" localSheetId="64">'310'!$P$51</definedName>
    <definedName name="OSRRefP22_4x_0" localSheetId="71">'310 &amp; 491'!$P$53</definedName>
    <definedName name="OSRRefP22_4x_0" localSheetId="54">'311'!$P$60</definedName>
    <definedName name="OSRRefP22_4x_0" localSheetId="57">'315'!$P$68</definedName>
    <definedName name="OSRRefP22_4x_0" localSheetId="60">'316'!$P$51</definedName>
    <definedName name="OSRRefP22_4x_0" localSheetId="62">'317'!$P$60</definedName>
    <definedName name="OSRRefP22_4x_0" localSheetId="67">'321'!$P$48</definedName>
    <definedName name="OSRRefP22_4x_0" localSheetId="68">'325'!$P$49</definedName>
    <definedName name="OSRRefP22_4x_0" localSheetId="58">'326'!$P$50</definedName>
    <definedName name="OSRRefP22_4x_0" localSheetId="51">'330'!$P$57</definedName>
    <definedName name="OSRRefP22_4x_0" localSheetId="56">'331'!$P$68</definedName>
    <definedName name="OSRRefP22_4x_0" localSheetId="59">'332'!$P$51</definedName>
    <definedName name="OSRRefP22_4x_0" localSheetId="73">'405'!$P$52</definedName>
    <definedName name="OSRRefP22_4x_0" localSheetId="74">'411'!$P$46</definedName>
    <definedName name="OSRRefP22_4x_0" localSheetId="77">'415'!$P$52</definedName>
    <definedName name="OSRRefP22_4x_0" localSheetId="78">'418'!$P$49:$P$50</definedName>
    <definedName name="OSRRefP22_4x_0" localSheetId="79">'423'!$P$44</definedName>
    <definedName name="OSRRefP22_4x_0" localSheetId="84">'430'!$P$45:$P$46</definedName>
    <definedName name="OSRRefP22_4x_0" localSheetId="85">'433'!$P$53</definedName>
    <definedName name="OSRRefP22_4x_0" localSheetId="86">'444'!$P$53</definedName>
    <definedName name="OSRRefP22_4x_0" localSheetId="87">'450'!$P$52</definedName>
    <definedName name="OSRRefP22_4x_0" localSheetId="72">'491'!$P$52</definedName>
    <definedName name="OSRRefP22_4x_0" localSheetId="83">'492'!$P$53</definedName>
    <definedName name="OSRRefP22_4x_0" localSheetId="89">'501'!$P$46</definedName>
    <definedName name="OSRRefP22_4x_0" localSheetId="39">'Div 2'!$P$47</definedName>
    <definedName name="OSRRefP22_4x_0" localSheetId="47">'Div 3'!$P$82</definedName>
    <definedName name="OSRRefP22_4x_0" localSheetId="70">'Div 4'!$P$55</definedName>
    <definedName name="OSRRefP22_4x_0" localSheetId="88">'Div 5'!$P$46</definedName>
    <definedName name="OSRRefP22_4x_0" localSheetId="61">'Div 6'!$P$60</definedName>
    <definedName name="OSRRefP22_4x_0" localSheetId="2">Summary!$P$91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'204'!$P$48:$P$51</definedName>
    <definedName name="OSRRefP22_5x_0" localSheetId="45">'205'!$P$48</definedName>
    <definedName name="OSRRefP22_5x_0" localSheetId="46">'206'!$P$48</definedName>
    <definedName name="OSRRefP22_5x_0" localSheetId="48">'300'!$P$81:$P$82</definedName>
    <definedName name="OSRRefP22_5x_0" localSheetId="49">'300 &amp; 317'!$P$87:$P$88</definedName>
    <definedName name="OSRRefP22_5x_0" localSheetId="50">'301'!$P$48:$P$49</definedName>
    <definedName name="OSRRefP22_5x_0" localSheetId="52">'307'!$P$59:$P$60</definedName>
    <definedName name="OSRRefP22_5x_0" localSheetId="53">'308'!$P$62</definedName>
    <definedName name="OSRRefP22_5x_0" localSheetId="64">'310'!$P$53:$P$54</definedName>
    <definedName name="OSRRefP22_5x_0" localSheetId="71">'310 &amp; 491'!$P$55:$P$56</definedName>
    <definedName name="OSRRefP22_5x_0" localSheetId="54">'311'!$P$62</definedName>
    <definedName name="OSRRefP22_5x_0" localSheetId="57">'315'!$P$70</definedName>
    <definedName name="OSRRefP22_5x_0" localSheetId="60">'316'!$P$53:$P$54</definedName>
    <definedName name="OSRRefP22_5x_0" localSheetId="62">'317'!$P$62</definedName>
    <definedName name="OSRRefP22_5x_0" localSheetId="67">'321'!$P$50</definedName>
    <definedName name="OSRRefP22_5x_0" localSheetId="68">'325'!$P$51:$P$52</definedName>
    <definedName name="OSRRefP22_5x_0" localSheetId="58">'326'!$P$52</definedName>
    <definedName name="OSRRefP22_5x_0" localSheetId="51">'330'!$P$59:$P$60</definedName>
    <definedName name="OSRRefP22_5x_0" localSheetId="56">'331'!$P$70</definedName>
    <definedName name="OSRRefP22_5x_0" localSheetId="59">'332'!$P$53:$P$54</definedName>
    <definedName name="OSRRefP22_5x_0" localSheetId="73">'405'!$P$54:$P$55</definedName>
    <definedName name="OSRRefP22_5x_0" localSheetId="74">'411'!$P$48</definedName>
    <definedName name="OSRRefP22_5x_0" localSheetId="77">'415'!$P$54:$P$55</definedName>
    <definedName name="OSRRefP22_5x_0" localSheetId="78">'418'!$P$52</definedName>
    <definedName name="OSRRefP22_5x_0" localSheetId="79">'423'!$P$46</definedName>
    <definedName name="OSRRefP22_5x_0" localSheetId="84">'430'!$P$48:$P$49</definedName>
    <definedName name="OSRRefP22_5x_0" localSheetId="85">'433'!$P$55</definedName>
    <definedName name="OSRRefP22_5x_0" localSheetId="86">'444'!$P$55</definedName>
    <definedName name="OSRRefP22_5x_0" localSheetId="87">'450'!$P$54</definedName>
    <definedName name="OSRRefP22_5x_0" localSheetId="72">'491'!$P$54:$P$55</definedName>
    <definedName name="OSRRefP22_5x_0" localSheetId="83">'492'!$P$55</definedName>
    <definedName name="OSRRefP22_5x_0" localSheetId="89">'501'!$P$48</definedName>
    <definedName name="OSRRefP22_5x_0" localSheetId="39">'Div 2'!$P$49:$P$50</definedName>
    <definedName name="OSRRefP22_5x_0" localSheetId="47">'Div 3'!$P$84:$P$85</definedName>
    <definedName name="OSRRefP22_5x_0" localSheetId="70">'Div 4'!$P$57:$P$58</definedName>
    <definedName name="OSRRefP22_5x_0" localSheetId="88">'Div 5'!$P$48</definedName>
    <definedName name="OSRRefP22_5x_0" localSheetId="61">'Div 6'!$P$62</definedName>
    <definedName name="OSRRefP22_5x_0" localSheetId="2">Summary!$P$93:$P$94</definedName>
    <definedName name="OSRRefP22_6x_0" localSheetId="41">'201'!$P$49</definedName>
    <definedName name="OSRRefP22_6x_0" localSheetId="42">'202'!$P$49:$P$51</definedName>
    <definedName name="OSRRefP22_6x_0" localSheetId="43">'203'!$P$50</definedName>
    <definedName name="OSRRefP22_6x_0" localSheetId="44">'204'!$P$53</definedName>
    <definedName name="OSRRefP22_6x_0" localSheetId="45">'205'!$P$50:$P$52</definedName>
    <definedName name="OSRRefP22_6x_0" localSheetId="46">'206'!$P$50:$P$51</definedName>
    <definedName name="OSRRefP22_6x_0" localSheetId="48">'300'!$P$84:$P$85</definedName>
    <definedName name="OSRRefP22_6x_0" localSheetId="49">'300 &amp; 317'!$P$90:$P$91</definedName>
    <definedName name="OSRRefP22_6x_0" localSheetId="50">'301'!$P$51</definedName>
    <definedName name="OSRRefP22_6x_0" localSheetId="52">'307'!$P$62</definedName>
    <definedName name="OSRRefP22_6x_0" localSheetId="53">'308'!$P$64</definedName>
    <definedName name="OSRRefP22_6x_0" localSheetId="64">'310'!$P$56</definedName>
    <definedName name="OSRRefP22_6x_0" localSheetId="71">'310 &amp; 491'!$P$58</definedName>
    <definedName name="OSRRefP22_6x_0" localSheetId="54">'311'!$P$64</definedName>
    <definedName name="OSRRefP22_6x_0" localSheetId="57">'315'!$P$72</definedName>
    <definedName name="OSRRefP22_6x_0" localSheetId="60">'316'!$P$56:$P$57</definedName>
    <definedName name="OSRRefP22_6x_0" localSheetId="62">'317'!$P$64</definedName>
    <definedName name="OSRRefP22_6x_0" localSheetId="67">'321'!$P$52:$P$53</definedName>
    <definedName name="OSRRefP22_6x_0" localSheetId="68">'325'!$P$54</definedName>
    <definedName name="OSRRefP22_6x_0" localSheetId="58">'326'!$P$54</definedName>
    <definedName name="OSRRefP22_6x_0" localSheetId="51">'330'!$P$62</definedName>
    <definedName name="OSRRefP22_6x_0" localSheetId="56">'331'!$P$72</definedName>
    <definedName name="OSRRefP22_6x_0" localSheetId="59">'332'!$P$56:$P$57</definedName>
    <definedName name="OSRRefP22_6x_0" localSheetId="73">'405'!$P$57</definedName>
    <definedName name="OSRRefP22_6x_0" localSheetId="74">'411'!$P$50</definedName>
    <definedName name="OSRRefP22_6x_0" localSheetId="77">'415'!$P$57</definedName>
    <definedName name="OSRRefP22_6x_0" localSheetId="78">'418'!$P$54</definedName>
    <definedName name="OSRRefP22_6x_0" localSheetId="84">'430'!$P$51</definedName>
    <definedName name="OSRRefP22_6x_0" localSheetId="85">'433'!$P$57</definedName>
    <definedName name="OSRRefP22_6x_0" localSheetId="86">'444'!$P$57</definedName>
    <definedName name="OSRRefP22_6x_0" localSheetId="87">'450'!$P$56</definedName>
    <definedName name="OSRRefP22_6x_0" localSheetId="72">'491'!$P$57</definedName>
    <definedName name="OSRRefP22_6x_0" localSheetId="83">'492'!$P$57</definedName>
    <definedName name="OSRRefP22_6x_0" localSheetId="89">'501'!$P$50</definedName>
    <definedName name="OSRRefP22_6x_0" localSheetId="39">'Div 2'!$P$52</definedName>
    <definedName name="OSRRefP22_6x_0" localSheetId="47">'Div 3'!$P$87:$P$88</definedName>
    <definedName name="OSRRefP22_6x_0" localSheetId="70">'Div 4'!$P$60</definedName>
    <definedName name="OSRRefP22_6x_0" localSheetId="88">'Div 5'!$P$50</definedName>
    <definedName name="OSRRefP22_6x_0" localSheetId="61">'Div 6'!$P$64</definedName>
    <definedName name="OSRRefP22_6x_0" localSheetId="2">Summary!$P$96:$P$97</definedName>
    <definedName name="OSRRefP22_7x_0" localSheetId="41">'201'!$P$51</definedName>
    <definedName name="OSRRefP22_7x_0" localSheetId="42">'202'!$P$53</definedName>
    <definedName name="OSRRefP22_7x_0" localSheetId="43">'203'!$P$52</definedName>
    <definedName name="OSRRefP22_7x_0" localSheetId="44">'204'!$P$55:$P$56</definedName>
    <definedName name="OSRRefP22_7x_0" localSheetId="45">'205'!$P$54</definedName>
    <definedName name="OSRRefP22_7x_0" localSheetId="46">'206'!$P$53</definedName>
    <definedName name="OSRRefP22_7x_0" localSheetId="48">'300'!$P$87</definedName>
    <definedName name="OSRRefP22_7x_0" localSheetId="49">'300 &amp; 317'!$P$93</definedName>
    <definedName name="OSRRefP22_7x_0" localSheetId="50">'301'!$P$53</definedName>
    <definedName name="OSRRefP22_7x_0" localSheetId="52">'307'!$P$64</definedName>
    <definedName name="OSRRefP22_7x_0" localSheetId="53">'308'!$P$66</definedName>
    <definedName name="OSRRefP22_7x_0" localSheetId="64">'310'!$P$58</definedName>
    <definedName name="OSRRefP22_7x_0" localSheetId="71">'310 &amp; 491'!$P$60</definedName>
    <definedName name="OSRRefP22_7x_0" localSheetId="54">'311'!$P$66</definedName>
    <definedName name="OSRRefP22_7x_0" localSheetId="57">'315'!$P$74:$P$75</definedName>
    <definedName name="OSRRefP22_7x_0" localSheetId="60">'316'!$P$59</definedName>
    <definedName name="OSRRefP22_7x_0" localSheetId="62">'317'!$P$66</definedName>
    <definedName name="OSRRefP22_7x_0" localSheetId="67">'321'!$P$55</definedName>
    <definedName name="OSRRefP22_7x_0" localSheetId="68">'325'!$P$56</definedName>
    <definedName name="OSRRefP22_7x_0" localSheetId="58">'326'!$P$56</definedName>
    <definedName name="OSRRefP22_7x_0" localSheetId="51">'330'!$P$64</definedName>
    <definedName name="OSRRefP22_7x_0" localSheetId="56">'331'!$P$74:$P$75</definedName>
    <definedName name="OSRRefP22_7x_0" localSheetId="59">'332'!$P$59</definedName>
    <definedName name="OSRRefP22_7x_0" localSheetId="73">'405'!$P$59</definedName>
    <definedName name="OSRRefP22_7x_0" localSheetId="74">'411'!$P$52</definedName>
    <definedName name="OSRRefP22_7x_0" localSheetId="77">'415'!$P$59</definedName>
    <definedName name="OSRRefP22_7x_0" localSheetId="78">'418'!$P$56</definedName>
    <definedName name="OSRRefP22_7x_0" localSheetId="84">'430'!$P$53</definedName>
    <definedName name="OSRRefP22_7x_0" localSheetId="85">'433'!$P$59</definedName>
    <definedName name="OSRRefP22_7x_0" localSheetId="86">'444'!$P$59</definedName>
    <definedName name="OSRRefP22_7x_0" localSheetId="87">'450'!$P$58</definedName>
    <definedName name="OSRRefP22_7x_0" localSheetId="72">'491'!$P$59</definedName>
    <definedName name="OSRRefP22_7x_0" localSheetId="83">'492'!$P$59</definedName>
    <definedName name="OSRRefP22_7x_0" localSheetId="89">'501'!$P$52</definedName>
    <definedName name="OSRRefP22_7x_0" localSheetId="39">'Div 2'!$P$54</definedName>
    <definedName name="OSRRefP22_7x_0" localSheetId="47">'Div 3'!$P$90</definedName>
    <definedName name="OSRRefP22_7x_0" localSheetId="70">'Div 4'!$P$62</definedName>
    <definedName name="OSRRefP22_7x_0" localSheetId="88">'Div 5'!$P$52</definedName>
    <definedName name="OSRRefP22_7x_0" localSheetId="61">'Div 6'!$P$66</definedName>
    <definedName name="OSRRefP22_7x_0" localSheetId="2">Summary!$P$99</definedName>
    <definedName name="OSRRefP22_8x_0" localSheetId="41">'201'!$P$53:$P$54</definedName>
    <definedName name="OSRRefP22_8x_0" localSheetId="42">'202'!$P$55</definedName>
    <definedName name="OSRRefP22_8x_0" localSheetId="43">'203'!$P$54:$P$56</definedName>
    <definedName name="OSRRefP22_8x_0" localSheetId="48">'300'!$P$89</definedName>
    <definedName name="OSRRefP22_8x_0" localSheetId="49">'300 &amp; 317'!$P$95</definedName>
    <definedName name="OSRRefP22_8x_0" localSheetId="50">'301'!$P$55</definedName>
    <definedName name="OSRRefP22_8x_0" localSheetId="52">'307'!$P$66</definedName>
    <definedName name="OSRRefP22_8x_0" localSheetId="53">'308'!$P$68:$P$70</definedName>
    <definedName name="OSRRefP22_8x_0" localSheetId="64">'310'!$P$60</definedName>
    <definedName name="OSRRefP22_8x_0" localSheetId="71">'310 &amp; 491'!$P$62</definedName>
    <definedName name="OSRRefP22_8x_0" localSheetId="54">'311'!$P$68:$P$70</definedName>
    <definedName name="OSRRefP22_8x_0" localSheetId="57">'315'!$P$77</definedName>
    <definedName name="OSRRefP22_8x_0" localSheetId="60">'316'!$P$61:$P$64</definedName>
    <definedName name="OSRRefP22_8x_0" localSheetId="62">'317'!$P$68:$P$69</definedName>
    <definedName name="OSRRefP22_8x_0" localSheetId="67">'321'!$P$57:$P$58</definedName>
    <definedName name="OSRRefP22_8x_0" localSheetId="68">'325'!$P$58</definedName>
    <definedName name="OSRRefP22_8x_0" localSheetId="58">'326'!$P$58</definedName>
    <definedName name="OSRRefP22_8x_0" localSheetId="51">'330'!$P$66</definedName>
    <definedName name="OSRRefP22_8x_0" localSheetId="56">'331'!$P$77:$P$78</definedName>
    <definedName name="OSRRefP22_8x_0" localSheetId="59">'332'!$P$61:$P$64</definedName>
    <definedName name="OSRRefP22_8x_0" localSheetId="73">'405'!$P$61</definedName>
    <definedName name="OSRRefP22_8x_0" localSheetId="74">'411'!$P$54:$P$56</definedName>
    <definedName name="OSRRefP22_8x_0" localSheetId="77">'415'!$P$61</definedName>
    <definedName name="OSRRefP22_8x_0" localSheetId="78">'418'!$P$58:$P$59</definedName>
    <definedName name="OSRRefP22_8x_0" localSheetId="85">'433'!$P$61</definedName>
    <definedName name="OSRRefP22_8x_0" localSheetId="86">'444'!$P$61</definedName>
    <definedName name="OSRRefP22_8x_0" localSheetId="87">'450'!$P$60</definedName>
    <definedName name="OSRRefP22_8x_0" localSheetId="72">'491'!$P$61</definedName>
    <definedName name="OSRRefP22_8x_0" localSheetId="83">'492'!$P$61</definedName>
    <definedName name="OSRRefP22_8x_0" localSheetId="89">'501'!$P$54</definedName>
    <definedName name="OSRRefP22_8x_0" localSheetId="39">'Div 2'!$P$56</definedName>
    <definedName name="OSRRefP22_8x_0" localSheetId="47">'Div 3'!$P$92</definedName>
    <definedName name="OSRRefP22_8x_0" localSheetId="70">'Div 4'!$P$64</definedName>
    <definedName name="OSRRefP22_8x_0" localSheetId="88">'Div 5'!$P$54</definedName>
    <definedName name="OSRRefP22_8x_0" localSheetId="61">'Div 6'!$P$68:$P$69</definedName>
    <definedName name="OSRRefP22_8x_0" localSheetId="2">Summary!$P$101</definedName>
    <definedName name="OSRRefP22_9x_0" localSheetId="41">'201'!$P$56</definedName>
    <definedName name="OSRRefP22_9x_0" localSheetId="42">'202'!$P$57</definedName>
    <definedName name="OSRRefP22_9x_0" localSheetId="43">'203'!$P$58:$P$59</definedName>
    <definedName name="OSRRefP22_9x_0" localSheetId="48">'300'!$P$91</definedName>
    <definedName name="OSRRefP22_9x_0" localSheetId="49">'300 &amp; 317'!$P$97</definedName>
    <definedName name="OSRRefP22_9x_0" localSheetId="50">'301'!$P$57</definedName>
    <definedName name="OSRRefP22_9x_0" localSheetId="52">'307'!$P$68</definedName>
    <definedName name="OSRRefP22_9x_0" localSheetId="53">'308'!$P$72</definedName>
    <definedName name="OSRRefP22_9x_0" localSheetId="64">'310'!$P$62</definedName>
    <definedName name="OSRRefP22_9x_0" localSheetId="71">'310 &amp; 491'!$P$64</definedName>
    <definedName name="OSRRefP22_9x_0" localSheetId="54">'311'!$P$72</definedName>
    <definedName name="OSRRefP22_9x_0" localSheetId="57">'315'!$P$79</definedName>
    <definedName name="OSRRefP22_9x_0" localSheetId="60">'316'!$P$66</definedName>
    <definedName name="OSRRefP22_9x_0" localSheetId="62">'317'!$P$71</definedName>
    <definedName name="OSRRefP22_9x_0" localSheetId="67">'321'!$P$60:$P$62</definedName>
    <definedName name="OSRRefP22_9x_0" localSheetId="68">'325'!$P$60</definedName>
    <definedName name="OSRRefP22_9x_0" localSheetId="58">'326'!$P$60</definedName>
    <definedName name="OSRRefP22_9x_0" localSheetId="51">'330'!$P$68</definedName>
    <definedName name="OSRRefP22_9x_0" localSheetId="56">'331'!$P$80</definedName>
    <definedName name="OSRRefP22_9x_0" localSheetId="59">'332'!$P$66</definedName>
    <definedName name="OSRRefP22_9x_0" localSheetId="73">'405'!$P$63:$P$64</definedName>
    <definedName name="OSRRefP22_9x_0" localSheetId="74">'411'!$P$58:$P$60</definedName>
    <definedName name="OSRRefP22_9x_0" localSheetId="77">'415'!$P$63</definedName>
    <definedName name="OSRRefP22_9x_0" localSheetId="78">'418'!$P$61:$P$64</definedName>
    <definedName name="OSRRefP22_9x_0" localSheetId="85">'433'!$P$63</definedName>
    <definedName name="OSRRefP22_9x_0" localSheetId="86">'444'!$P$63</definedName>
    <definedName name="OSRRefP22_9x_0" localSheetId="87">'450'!$P$62</definedName>
    <definedName name="OSRRefP22_9x_0" localSheetId="72">'491'!$P$63</definedName>
    <definedName name="OSRRefP22_9x_0" localSheetId="83">'492'!$P$63</definedName>
    <definedName name="OSRRefP22_9x_0" localSheetId="89">'501'!$P$56:$P$58</definedName>
    <definedName name="OSRRefP22_9x_0" localSheetId="39">'Div 2'!$P$58</definedName>
    <definedName name="OSRRefP22_9x_0" localSheetId="47">'Div 3'!$P$94</definedName>
    <definedName name="OSRRefP22_9x_0" localSheetId="70">'Div 4'!$P$66</definedName>
    <definedName name="OSRRefP22_9x_0" localSheetId="88">'Div 5'!$P$56:$P$58</definedName>
    <definedName name="OSRRefP22_9x_0" localSheetId="61">'Div 6'!$P$71</definedName>
    <definedName name="OSRRefP22_9x_0" localSheetId="2">Summary!$P$103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'201'!$P$20:$P$28,'201'!$P$30:$P$39,'201'!$P$41,'201'!$P$43,'201'!$P$45,'201'!$P$47,'201'!$P$49,'201'!$P$51,'201'!$P$53:$P$54,'201'!$P$56,'201'!$P$58:$P$59,'201'!$P$61</definedName>
    <definedName name="OSRRefP22x_0" localSheetId="42">'202'!$P$20:$P$28,'202'!$P$30:$P$39,'202'!$P$41,'202'!$P$43,'202'!$P$45,'202'!$P$47,'202'!$P$49:$P$51,'202'!$P$53,'202'!$P$55,'202'!$P$57,'202'!$P$59,'202'!$P$61</definedName>
    <definedName name="OSRRefP22x_0" localSheetId="43">'203'!$P$20:$P$29,'203'!$P$31:$P$40,'203'!$P$42,'203'!$P$44,'203'!$P$46,'203'!$P$48,'203'!$P$50,'203'!$P$52,'203'!$P$54:$P$56,'203'!$P$58:$P$59,'203'!$P$61,'203'!$P$63:$P$66,'203'!$P$68,'203'!$P$70</definedName>
    <definedName name="OSRRefP22x_0" localSheetId="44">'204'!$P$20:$P$28,'204'!$P$30:$P$39,'204'!$P$41,'204'!$P$43:$P$44,'204'!$P$46,'204'!$P$48:$P$51,'204'!$P$53,'204'!$P$55:$P$56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'206'!$P$20:$P$28,'206'!$P$30:$P$39,'206'!$P$41,'206'!$P$43,'206'!$P$45:$P$46,'206'!$P$48,'206'!$P$50:$P$51,'206'!$P$53</definedName>
    <definedName name="OSRRefP22x_0" localSheetId="48">'300'!$P$53:$P$62,'300'!$P$64:$P$73,'300'!$P$75,'300'!$P$77,'300'!$P$79,'300'!$P$81:$P$82,'300'!$P$84:$P$85,'300'!$P$87,'300'!$P$89,'300'!$P$91,'300'!$P$93:$P$94,'300'!$P$96:$P$97,'300'!$P$99,'300'!$P$101,'300'!$P$103,'300'!$P$105,'300'!$P$107:$P$110,'300'!$P$112:$P$115,'300'!$P$117:$P$119,'300'!$P$121:$P$122,'300'!$P$124:$P$129,'300'!$P$131:$P$132,'300'!$P$134:$P$136,'300'!$P$138</definedName>
    <definedName name="OSRRefP22x_0" localSheetId="49">'300 &amp; 317'!$P$59:$P$68,'300 &amp; 317'!$P$70:$P$79,'300 &amp; 317'!$P$81,'300 &amp; 317'!$P$83,'300 &amp; 317'!$P$85,'300 &amp; 317'!$P$87:$P$88,'300 &amp; 317'!$P$90:$P$91,'300 &amp; 317'!$P$93,'300 &amp; 317'!$P$95,'300 &amp; 317'!$P$97,'300 &amp; 317'!$P$99:$P$100,'300 &amp; 317'!$P$102:$P$103,'300 &amp; 317'!$P$105,'300 &amp; 317'!$P$107,'300 &amp; 317'!$P$109,'300 &amp; 317'!$P$111,'300 &amp; 317'!$P$113:$P$116,'300 &amp; 317'!$P$118:$P$121,'300 &amp; 317'!$P$123:$P$125,'300 &amp; 317'!$P$127:$P$128,'300 &amp; 317'!$P$130:$P$135,'300 &amp; 317'!$P$137:$P$138,'300 &amp; 317'!$P$140:$P$142,'300 &amp; 317'!$P$144</definedName>
    <definedName name="OSRRefP22x_0" localSheetId="50">'301'!$P$20:$P$29,'301'!$P$31:$P$40,'301'!$P$42,'301'!$P$44,'301'!$P$46,'301'!$P$48:$P$49,'301'!$P$51,'301'!$P$53,'301'!$P$55,'301'!$P$57,'301'!$P$59,'301'!$P$61,'301'!$P$63,'301'!$P$65,'301'!$P$67:$P$70,'301'!$P$72:$P$73,'301'!$P$75,'301'!$P$77:$P$81,'301'!$P$83,'301'!$P$85,'301'!$P$87</definedName>
    <definedName name="OSRRefP22x_0" localSheetId="52">'307'!$P$33:$P$40,'307'!$P$42:$P$51,'307'!$P$53,'307'!$P$55,'307'!$P$57,'307'!$P$59:$P$60,'307'!$P$62,'307'!$P$64,'307'!$P$66,'307'!$P$68,'307'!$P$70,'307'!$P$72:$P$74,'307'!$P$76</definedName>
    <definedName name="OSRRefP22x_0" localSheetId="53">'308'!$P$34:$P$43,'308'!$P$45:$P$54,'308'!$P$56,'308'!$P$58,'308'!$P$60,'308'!$P$62,'308'!$P$64,'308'!$P$66,'308'!$P$68:$P$70,'308'!$P$72,'308'!$P$74:$P$75,'308'!$P$77:$P$78</definedName>
    <definedName name="OSRRefP22x_0" localSheetId="65">'309'!$P$20,'309'!$P$22:$P$23,'309'!$P$25</definedName>
    <definedName name="OSRRefP22x_0" localSheetId="64">'310'!$P$26:$P$34,'310'!$P$36:$P$45,'310'!$P$47,'310'!$P$49,'310'!$P$51,'310'!$P$53:$P$54,'310'!$P$56,'310'!$P$58,'310'!$P$60,'310'!$P$62,'310'!$P$64:$P$65,'310'!$P$67,'310'!$P$69:$P$71,'310'!$P$73:$P$77,'310'!$P$79:$P$80,'310'!$P$82,'310'!$P$84</definedName>
    <definedName name="OSRRefP22x_0" localSheetId="71">'310 &amp; 491'!$P$28:$P$36,'310 &amp; 491'!$P$38:$P$47,'310 &amp; 491'!$P$49,'310 &amp; 491'!$P$51,'310 &amp; 491'!$P$53,'310 &amp; 491'!$P$55:$P$56,'310 &amp; 491'!$P$58,'310 &amp; 491'!$P$60,'310 &amp; 491'!$P$62,'310 &amp; 491'!$P$64,'310 &amp; 491'!$P$66,'310 &amp; 491'!$P$68,'310 &amp; 491'!$P$70:$P$72,'310 &amp; 491'!$P$74,'310 &amp; 491'!$P$76:$P$80,'310 &amp; 491'!$P$82,'310 &amp; 491'!$P$84:$P$93,'310 &amp; 491'!$P$95:$P$96,'310 &amp; 491'!$P$98,'310 &amp; 491'!$P$100</definedName>
    <definedName name="OSRRefP22x_0" localSheetId="54">'311'!$P$34:$P$43,'311'!$P$45:$P$54,'311'!$P$56,'311'!$P$58,'311'!$P$60,'311'!$P$62,'311'!$P$64,'311'!$P$66,'311'!$P$68:$P$70,'311'!$P$72,'311'!$P$74:$P$75,'311'!$P$77:$P$78</definedName>
    <definedName name="OSRRefP22x_0" localSheetId="66">'313'!$P$20,'313'!$P$22</definedName>
    <definedName name="OSRRefP22x_0" localSheetId="57">'315'!$P$43:$P$51,'315'!$P$53:$P$62,'315'!$P$64,'315'!$P$66,'315'!$P$68,'315'!$P$70,'315'!$P$72,'315'!$P$74:$P$75,'315'!$P$77,'315'!$P$79,'315'!$P$81,'315'!$P$83:$P$84,'315'!$P$86:$P$88,'315'!$P$90:$P$91,'315'!$P$93:$P$95,'315'!$P$97,'315'!$P$99</definedName>
    <definedName name="OSRRefP22x_0" localSheetId="60">'316'!$P$26:$P$34,'316'!$P$36:$P$45,'316'!$P$47,'316'!$P$49,'316'!$P$51,'316'!$P$53:$P$54,'316'!$P$56:$P$57,'316'!$P$59,'316'!$P$61:$P$64,'316'!$P$66</definedName>
    <definedName name="OSRRefP22x_0" localSheetId="62">'317'!$P$34:$P$43,'317'!$P$45:$P$54,'317'!$P$56,'317'!$P$58,'317'!$P$60,'317'!$P$62,'317'!$P$64,'317'!$P$66,'317'!$P$68:$P$69,'317'!$P$71</definedName>
    <definedName name="OSRRefP22x_0" localSheetId="67">'321'!$P$23:$P$31,'321'!$P$33:$P$42,'321'!$P$44,'321'!$P$46,'321'!$P$48,'321'!$P$50,'321'!$P$52:$P$53,'321'!$P$55,'321'!$P$57:$P$58,'321'!$P$60:$P$62,'321'!$P$64,'321'!$P$66</definedName>
    <definedName name="OSRRefP22x_0" localSheetId="68">'325'!$P$25:$P$32,'325'!$P$34:$P$43,'325'!$P$45,'325'!$P$47,'325'!$P$49,'325'!$P$51:$P$52,'325'!$P$54,'325'!$P$56,'325'!$P$58,'325'!$P$60,'325'!$P$62:$P$63,'325'!$P$65:$P$67,'325'!$P$69:$P$73,'325'!$P$75:$P$76,'325'!$P$78</definedName>
    <definedName name="OSRRefP22x_0" localSheetId="58">'326'!$P$25:$P$33,'326'!$P$35:$P$44,'326'!$P$46,'326'!$P$48,'326'!$P$50,'326'!$P$52,'326'!$P$54,'326'!$P$56,'326'!$P$58,'326'!$P$60,'326'!$P$62,'326'!$P$64:$P$65,'326'!$P$67:$P$68,'326'!$P$70:$P$71,'326'!$P$73:$P$75,'326'!$P$77,'326'!$P$79:$P$80,'326'!$P$82</definedName>
    <definedName name="OSRRefP22x_0" localSheetId="69">'327'!$P$24</definedName>
    <definedName name="OSRRefP22x_0" localSheetId="51">'330'!$P$33:$P$40,'330'!$P$42:$P$51,'330'!$P$53,'330'!$P$55,'330'!$P$57,'330'!$P$59:$P$60,'330'!$P$62,'330'!$P$64,'330'!$P$66,'330'!$P$68,'330'!$P$70,'330'!$P$72:$P$74,'330'!$P$76</definedName>
    <definedName name="OSRRefP22x_0" localSheetId="56">'331'!$P$43:$P$51,'331'!$P$53:$P$62,'331'!$P$64,'331'!$P$66,'331'!$P$68,'331'!$P$70,'331'!$P$72,'331'!$P$74:$P$75,'331'!$P$77:$P$78,'331'!$P$80,'331'!$P$82,'331'!$P$84,'331'!$P$86,'331'!$P$88:$P$89,'331'!$P$91:$P$93,'331'!$P$95:$P$96,'331'!$P$98:$P$99,'331'!$P$101:$P$104,'331'!$P$106,'331'!$P$108:$P$109,'331'!$P$111</definedName>
    <definedName name="OSRRefP22x_0" localSheetId="59">'332'!$P$26:$P$34,'332'!$P$36:$P$45,'332'!$P$47,'332'!$P$49,'332'!$P$51,'332'!$P$53:$P$54,'332'!$P$56:$P$57,'332'!$P$59,'332'!$P$61:$P$64,'332'!$P$66</definedName>
    <definedName name="OSRRefP22x_0" localSheetId="73">'405'!$P$27:$P$35,'405'!$P$37:$P$46,'405'!$P$48,'405'!$P$50,'405'!$P$52,'405'!$P$54:$P$55,'405'!$P$57,'405'!$P$59,'405'!$P$61,'405'!$P$63:$P$64,'405'!$P$66:$P$69,'405'!$P$71,'405'!$P$73:$P$80,'405'!$P$82,'405'!$P$84</definedName>
    <definedName name="OSRRefP22x_0" localSheetId="74">'411'!$P$20:$P$28,'411'!$P$30:$P$39,'411'!$P$41,'411'!$P$43:$P$44,'411'!$P$46,'411'!$P$48,'411'!$P$50,'411'!$P$52,'411'!$P$54:$P$56,'411'!$P$58:$P$60,'411'!$P$62,'411'!$P$64,'411'!$P$66,'411'!$P$68</definedName>
    <definedName name="OSRRefP22x_0" localSheetId="75">'412'!$P$20,'412'!$P$22,'412'!$P$24</definedName>
    <definedName name="OSRRefP22x_0" localSheetId="76">'413'!$P$20,'413'!$P$22</definedName>
    <definedName name="OSRRefP22x_0" localSheetId="77">'415'!$P$27:$P$35,'415'!$P$37:$P$46,'415'!$P$48,'415'!$P$50,'415'!$P$52,'415'!$P$54:$P$55,'415'!$P$57,'415'!$P$59,'415'!$P$61,'415'!$P$63,'415'!$P$65:$P$66,'415'!$P$68:$P$71,'415'!$P$73,'415'!$P$75:$P$80,'415'!$P$82:$P$83,'415'!$P$85,'415'!$P$87</definedName>
    <definedName name="OSRRefP22x_0" localSheetId="78">'418'!$P$24:$P$32,'418'!$P$34:$P$43,'418'!$P$45,'418'!$P$47,'418'!$P$49:$P$50,'418'!$P$52,'418'!$P$54,'418'!$P$56,'418'!$P$58:$P$59,'418'!$P$61:$P$64,'418'!$P$66,'418'!$P$68:$P$75,'418'!$P$77:$P$78,'418'!$P$80,'418'!$P$82</definedName>
    <definedName name="OSRRefP22x_0" localSheetId="79">'423'!$P$20:$P$27,'423'!$P$29:$P$38,'423'!$P$40,'423'!$P$42,'423'!$P$44,'423'!$P$46</definedName>
    <definedName name="OSRRefP22x_0" localSheetId="80">'424'!$P$20,'424'!$P$22</definedName>
    <definedName name="OSRRefP22x_0" localSheetId="81">'425'!$P$21,'425'!$P$23</definedName>
    <definedName name="OSRRefP22x_0" localSheetId="84">'430'!$P$20:$P$28,'430'!$P$30:$P$39,'430'!$P$41,'430'!$P$43,'430'!$P$45:$P$46,'430'!$P$48:$P$49,'430'!$P$51,'430'!$P$53</definedName>
    <definedName name="OSRRefP22x_0" localSheetId="85">'433'!$P$27:$P$36,'433'!$P$38:$P$47,'433'!$P$49,'433'!$P$51,'433'!$P$53,'433'!$P$55,'433'!$P$57,'433'!$P$59,'433'!$P$61,'433'!$P$63,'433'!$P$65:$P$67,'433'!$P$69:$P$72,'433'!$P$74:$P$79,'433'!$P$81</definedName>
    <definedName name="OSRRefP22x_0" localSheetId="86">'444'!$P$27:$P$36,'444'!$P$38:$P$47,'444'!$P$49,'444'!$P$51,'444'!$P$53,'444'!$P$55,'444'!$P$57,'444'!$P$59,'444'!$P$61,'444'!$P$63,'444'!$P$65,'444'!$P$67:$P$68,'444'!$P$70:$P$73,'444'!$P$75:$P$80,'444'!$P$82,'444'!$P$84</definedName>
    <definedName name="OSRRefP22x_0" localSheetId="87">'450'!$P$26:$P$35,'450'!$P$37:$P$46,'450'!$P$48,'450'!$P$50,'450'!$P$52,'450'!$P$54,'450'!$P$56,'450'!$P$58,'450'!$P$60,'450'!$P$62,'450'!$P$64,'450'!$P$66:$P$67,'450'!$P$69:$P$72,'450'!$P$74:$P$79,'450'!$P$81,'450'!$P$83</definedName>
    <definedName name="OSRRefP22x_0" localSheetId="72">'491'!$P$27:$P$35,'491'!$P$37:$P$46,'491'!$P$48,'491'!$P$50,'491'!$P$52,'491'!$P$54:$P$55,'491'!$P$57,'491'!$P$59,'491'!$P$61,'491'!$P$63,'491'!$P$65,'491'!$P$67,'491'!$P$69:$P$71,'491'!$P$73:$P$77,'491'!$P$79,'491'!$P$81:$P$89,'491'!$P$91:$P$92,'491'!$P$94,'491'!$P$96</definedName>
    <definedName name="OSRRefP22x_0" localSheetId="83">'492'!$P$27:$P$36,'492'!$P$38:$P$47,'492'!$P$49,'492'!$P$51,'492'!$P$53,'492'!$P$55,'492'!$P$57,'492'!$P$59,'492'!$P$61,'492'!$P$63,'492'!$P$65,'492'!$P$67,'492'!$P$69:$P$71,'492'!$P$73:$P$76,'492'!$P$78:$P$84,'492'!$P$86:$P$87,'492'!$P$89,'492'!$P$91</definedName>
    <definedName name="OSRRefP22x_0" localSheetId="89">'501'!$P$21:$P$29,'501'!$P$31:$P$40,'501'!$P$42,'501'!$P$44,'501'!$P$46,'501'!$P$48,'501'!$P$50,'501'!$P$52,'501'!$P$54,'501'!$P$56:$P$58,'501'!$P$60,'501'!$P$62:$P$63,'501'!$P$65</definedName>
    <definedName name="OSRRefP22x_0" localSheetId="39">'Div 2'!$P$20:$P$30,'Div 2'!$P$32:$P$41,'Div 2'!$P$43,'Div 2'!$P$45,'Div 2'!$P$47,'Div 2'!$P$49:$P$50,'Div 2'!$P$52,'Div 2'!$P$54,'Div 2'!$P$56,'Div 2'!$P$58,'Div 2'!$P$60,'Div 2'!$P$62,'Div 2'!$P$64:$P$67,'Div 2'!$P$69:$P$72,'Div 2'!$P$74:$P$75,'Div 2'!$P$77,'Div 2'!$P$79:$P$84,'Div 2'!$P$86:$P$87,'Div 2'!$P$89,'Div 2'!$P$91</definedName>
    <definedName name="OSRRefP22x_0" localSheetId="47">'Div 3'!$P$56:$P$65,'Div 3'!$P$67:$P$76,'Div 3'!$P$78,'Div 3'!$P$80,'Div 3'!$P$82,'Div 3'!$P$84:$P$85,'Div 3'!$P$87:$P$88,'Div 3'!$P$90,'Div 3'!$P$92,'Div 3'!$P$94,'Div 3'!$P$96:$P$97,'Div 3'!$P$99:$P$100,'Div 3'!$P$102,'Div 3'!$P$104,'Div 3'!$P$106,'Div 3'!$P$108,'Div 3'!$P$110,'Div 3'!$P$112:$P$115,'Div 3'!$P$117:$P$120,'Div 3'!$P$122:$P$125,'Div 3'!$P$127:$P$128,'Div 3'!$P$130:$P$136,'Div 3'!$P$138:$P$139,'Div 3'!$P$141,'Div 3'!$P$143:$P$145,'Div 3'!$P$147</definedName>
    <definedName name="OSRRefP22x_0" localSheetId="70">'Div 4'!$P$29:$P$38,'Div 4'!$P$40:$P$49,'Div 4'!$P$51,'Div 4'!$P$53,'Div 4'!$P$55,'Div 4'!$P$57:$P$58,'Div 4'!$P$60,'Div 4'!$P$62,'Div 4'!$P$64,'Div 4'!$P$66,'Div 4'!$P$68,'Div 4'!$P$70,'Div 4'!$P$72,'Div 4'!$P$74,'Div 4'!$P$76:$P$78,'Div 4'!$P$80:$P$84,'Div 4'!$P$86,'Div 4'!$P$88:$P$97,'Div 4'!$P$99:$P$100,'Div 4'!$P$102,'Div 4'!$P$104,'Div 4'!$P$106</definedName>
    <definedName name="OSRRefP22x_0" localSheetId="88">'Div 5'!$P$21:$P$29,'Div 5'!$P$31:$P$40,'Div 5'!$P$42,'Div 5'!$P$44,'Div 5'!$P$46,'Div 5'!$P$48,'Div 5'!$P$50,'Div 5'!$P$52,'Div 5'!$P$54,'Div 5'!$P$56:$P$58,'Div 5'!$P$60,'Div 5'!$P$62:$P$63,'Div 5'!$P$65</definedName>
    <definedName name="OSRRefP22x_0" localSheetId="61">'Div 6'!$P$34:$P$43,'Div 6'!$P$45:$P$54,'Div 6'!$P$56,'Div 6'!$P$58,'Div 6'!$P$60,'Div 6'!$P$62,'Div 6'!$P$64,'Div 6'!$P$66,'Div 6'!$P$68:$P$69,'Div 6'!$P$71</definedName>
    <definedName name="OSRRefP22x_0" localSheetId="2">Summary!$P$65:$P$74,Summary!$P$76:$P$85,Summary!$P$87,Summary!$P$89,Summary!$P$91,Summary!$P$93:$P$94,Summary!$P$96:$P$97,Summary!$P$99,Summary!$P$101,Summary!$P$103,Summary!$P$105:$P$106,Summary!$P$108:$P$109,Summary!$P$111,Summary!$P$113,Summary!$P$115,Summary!$P$117,Summary!$P$119,Summary!$P$121,Summary!$P$123:$P$126,Summary!$P$128:$P$131,Summary!$P$133:$P$137,Summary!$P$139:$P$140,Summary!$P$142:$P$151,Summary!$P$153:$P$154,Summary!$P$156,Summary!$P$158:$P$160,Summary!$P$162</definedName>
    <definedName name="OSRRefP25x_0" localSheetId="48">'300'!$P$141:$P$145</definedName>
    <definedName name="OSRRefP25x_0" localSheetId="49">'300 &amp; 317'!$P$147:$P$153</definedName>
    <definedName name="OSRRefP25x_0" localSheetId="50">'301'!$P$90:$P$91</definedName>
    <definedName name="OSRRefP25x_0" localSheetId="53">'308'!$P$81:$P$84</definedName>
    <definedName name="OSRRefP25x_0" localSheetId="71">'310 &amp; 491'!$P$103:$P$105</definedName>
    <definedName name="OSRRefP25x_0" localSheetId="54">'311'!$P$81:$P$84</definedName>
    <definedName name="OSRRefP25x_0" localSheetId="57">'315'!$P$102:$P$104</definedName>
    <definedName name="OSRRefP25x_0" localSheetId="60">'316'!$P$69</definedName>
    <definedName name="OSRRefP25x_0" localSheetId="62">'317'!$P$74:$P$76</definedName>
    <definedName name="OSRRefP25x_0" localSheetId="56">'331'!$P$114:$P$116</definedName>
    <definedName name="OSRRefP25x_0" localSheetId="59">'332'!$P$69</definedName>
    <definedName name="OSRRefP25x_0" localSheetId="74">'411'!$P$71</definedName>
    <definedName name="OSRRefP25x_0" localSheetId="77">'415'!$P$90</definedName>
    <definedName name="OSRRefP25x_0" localSheetId="82">'455'!$P$21:$P$22</definedName>
    <definedName name="OSRRefP25x_0" localSheetId="72">'491'!$P$99:$P$101</definedName>
    <definedName name="OSRRefP25x_0" localSheetId="89">'501'!$P$68</definedName>
    <definedName name="OSRRefP25x_0" localSheetId="47">'Div 3'!$P$150:$P$154</definedName>
    <definedName name="OSRRefP25x_0" localSheetId="70">'Div 4'!$P$109:$P$111</definedName>
    <definedName name="OSRRefP25x_0" localSheetId="88">'Div 5'!$P$68</definedName>
    <definedName name="OSRRefP25x_0" localSheetId="61">'Div 6'!$P$74:$P$76</definedName>
    <definedName name="OSRRefP25x_0" localSheetId="2">Summary!$P$165:$P$172</definedName>
    <definedName name="OSRRefT13x_0" localSheetId="48">'300'!$T$13:$T$18</definedName>
    <definedName name="OSRRefT13x_0" localSheetId="49">'300 &amp; 317'!$T$13:$T$18</definedName>
    <definedName name="OSRRefT13x_0" localSheetId="52">'307'!$T$13:$T$15</definedName>
    <definedName name="OSRRefT13x_0" localSheetId="53">'308'!$T$13:$T$16</definedName>
    <definedName name="OSRRefT13x_0" localSheetId="64">'310'!$T$13:$T$15</definedName>
    <definedName name="OSRRefT13x_0" localSheetId="71">'310 &amp; 491'!$T$13:$T$17</definedName>
    <definedName name="OSRRefT13x_0" localSheetId="54">'311'!$T$13:$T$16</definedName>
    <definedName name="OSRRefT13x_0" localSheetId="57">'315'!$T$13:$T$16</definedName>
    <definedName name="OSRRefT13x_0" localSheetId="60">'316'!$T$13:$T$17</definedName>
    <definedName name="OSRRefT13x_0" localSheetId="62">'317'!$T$13:$T$16</definedName>
    <definedName name="OSRRefT13x_0" localSheetId="67">'321'!$T$13:$T$14</definedName>
    <definedName name="OSRRefT13x_0" localSheetId="55">'324'!$T$13:$T$14</definedName>
    <definedName name="OSRRefT13x_0" localSheetId="68">'325'!$T$13:$T$14</definedName>
    <definedName name="OSRRefT13x_0" localSheetId="58">'326'!$T$13:$T$15</definedName>
    <definedName name="OSRRefT13x_0" localSheetId="69">'327'!$T$13:$T$14</definedName>
    <definedName name="OSRRefT13x_0" localSheetId="51">'330'!$T$13:$T$15</definedName>
    <definedName name="OSRRefT13x_0" localSheetId="56">'331'!$T$13:$T$16</definedName>
    <definedName name="OSRRefT13x_0" localSheetId="59">'332'!$T$13:$T$17</definedName>
    <definedName name="OSRRefT13x_0" localSheetId="73">'405'!$T$13:$T$16</definedName>
    <definedName name="OSRRefT13x_0" localSheetId="77">'415'!$T$13:$T$16</definedName>
    <definedName name="OSRRefT13x_0" localSheetId="78">'418'!$T$13:$T$14</definedName>
    <definedName name="OSRRefT13x_0" localSheetId="85">'433'!$T$13:$T$16</definedName>
    <definedName name="OSRRefT13x_0" localSheetId="86">'444'!$T$13:$T$16</definedName>
    <definedName name="OSRRefT13x_0" localSheetId="87">'450'!$T$13:$T$15</definedName>
    <definedName name="OSRRefT13x_0" localSheetId="72">'491'!$T$13:$T$16</definedName>
    <definedName name="OSRRefT13x_0" localSheetId="83">'492'!$T$13:$T$16</definedName>
    <definedName name="OSRRefT13x_0" localSheetId="89">'501'!$T$13</definedName>
    <definedName name="OSRRefT13x_0" localSheetId="47">'Div 3'!$T$13:$T$19</definedName>
    <definedName name="OSRRefT13x_0" localSheetId="70">'Div 4'!$T$13:$T$18</definedName>
    <definedName name="OSRRefT13x_0" localSheetId="88">'Div 5'!$T$13</definedName>
    <definedName name="OSRRefT13x_0" localSheetId="61">'Div 6'!$T$13:$T$16</definedName>
    <definedName name="OSRRefT13x_0" localSheetId="2">Summary!$T$13:$T$22</definedName>
    <definedName name="OSRRefT16x_0" localSheetId="48">'300'!$T$21:$T$47</definedName>
    <definedName name="OSRRefT16x_0" localSheetId="49">'300 &amp; 317'!$T$21:$T$53</definedName>
    <definedName name="OSRRefT16x_0" localSheetId="52">'307'!$T$18:$T$27</definedName>
    <definedName name="OSRRefT16x_0" localSheetId="53">'308'!$T$19:$T$28</definedName>
    <definedName name="OSRRefT16x_0" localSheetId="64">'310'!$T$18:$T$20</definedName>
    <definedName name="OSRRefT16x_0" localSheetId="71">'310 &amp; 491'!$T$20:$T$22</definedName>
    <definedName name="OSRRefT16x_0" localSheetId="54">'311'!$T$19:$T$28</definedName>
    <definedName name="OSRRefT16x_0" localSheetId="57">'315'!$T$19:$T$37</definedName>
    <definedName name="OSRRefT16x_0" localSheetId="60">'316'!$T$20</definedName>
    <definedName name="OSRRefT16x_0" localSheetId="62">'317'!$T$19:$T$28</definedName>
    <definedName name="OSRRefT16x_0" localSheetId="67">'321'!$T$17</definedName>
    <definedName name="OSRRefT16x_0" localSheetId="55">'324'!$T$17</definedName>
    <definedName name="OSRRefT16x_0" localSheetId="68">'325'!$T$17:$T$19</definedName>
    <definedName name="OSRRefT16x_0" localSheetId="58">'326'!$T$18:$T$19</definedName>
    <definedName name="OSRRefT16x_0" localSheetId="69">'327'!$T$17:$T$18</definedName>
    <definedName name="OSRRefT16x_0" localSheetId="51">'330'!$T$18:$T$27</definedName>
    <definedName name="OSRRefT16x_0" localSheetId="56">'331'!$T$19:$T$37</definedName>
    <definedName name="OSRRefT16x_0" localSheetId="59">'332'!$T$20</definedName>
    <definedName name="OSRRefT16x_0" localSheetId="73">'405'!$T$19:$T$21</definedName>
    <definedName name="OSRRefT16x_0" localSheetId="77">'415'!$T$19:$T$21</definedName>
    <definedName name="OSRRefT16x_0" localSheetId="78">'418'!$T$17:$T$18</definedName>
    <definedName name="OSRRefT16x_0" localSheetId="81">'425'!$T$15</definedName>
    <definedName name="OSRRefT16x_0" localSheetId="85">'433'!$T$19:$T$21</definedName>
    <definedName name="OSRRefT16x_0" localSheetId="86">'444'!$T$19:$T$21</definedName>
    <definedName name="OSRRefT16x_0" localSheetId="87">'450'!$T$18:$T$20</definedName>
    <definedName name="OSRRefT16x_0" localSheetId="72">'491'!$T$19:$T$21</definedName>
    <definedName name="OSRRefT16x_0" localSheetId="83">'492'!$T$19:$T$21</definedName>
    <definedName name="OSRRefT16x_0" localSheetId="47">'Div 3'!$T$22:$T$50</definedName>
    <definedName name="OSRRefT16x_0" localSheetId="70">'Div 4'!$T$21:$T$23</definedName>
    <definedName name="OSRRefT16x_0" localSheetId="61">'Div 6'!$T$19:$T$28</definedName>
    <definedName name="OSRRefT16x_0" localSheetId="2">Summary!$T$25:$T$59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'204'!$T$20:$T$28</definedName>
    <definedName name="OSRRefT22_0x_0" localSheetId="45">'205'!$T$20:$T$28</definedName>
    <definedName name="OSRRefT22_0x_0" localSheetId="46">'206'!$T$20:$T$28</definedName>
    <definedName name="OSRRefT22_0x_0" localSheetId="48">'300'!$T$53:$T$62</definedName>
    <definedName name="OSRRefT22_0x_0" localSheetId="49">'300 &amp; 317'!$T$59:$T$68</definedName>
    <definedName name="OSRRefT22_0x_0" localSheetId="50">'301'!$T$20:$T$29</definedName>
    <definedName name="OSRRefT22_0x_0" localSheetId="52">'307'!$T$33:$T$40</definedName>
    <definedName name="OSRRefT22_0x_0" localSheetId="53">'308'!$T$34:$T$43</definedName>
    <definedName name="OSRRefT22_0x_0" localSheetId="65">'309'!$T$20</definedName>
    <definedName name="OSRRefT22_0x_0" localSheetId="64">'310'!$T$26:$T$34</definedName>
    <definedName name="OSRRefT22_0x_0" localSheetId="71">'310 &amp; 491'!$T$28:$T$36</definedName>
    <definedName name="OSRRefT22_0x_0" localSheetId="54">'311'!$T$34:$T$43</definedName>
    <definedName name="OSRRefT22_0x_0" localSheetId="66">'313'!$T$20</definedName>
    <definedName name="OSRRefT22_0x_0" localSheetId="57">'315'!$T$43:$T$51</definedName>
    <definedName name="OSRRefT22_0x_0" localSheetId="60">'316'!$T$26:$T$34</definedName>
    <definedName name="OSRRefT22_0x_0" localSheetId="62">'317'!$T$34:$T$43</definedName>
    <definedName name="OSRRefT22_0x_0" localSheetId="67">'321'!$T$23:$T$31</definedName>
    <definedName name="OSRRefT22_0x_0" localSheetId="68">'325'!$T$25:$T$32</definedName>
    <definedName name="OSRRefT22_0x_0" localSheetId="58">'326'!$T$25:$T$33</definedName>
    <definedName name="OSRRefT22_0x_0" localSheetId="69">'327'!$T$24</definedName>
    <definedName name="OSRRefT22_0x_0" localSheetId="51">'330'!$T$33:$T$40</definedName>
    <definedName name="OSRRefT22_0x_0" localSheetId="56">'331'!$T$43:$T$51</definedName>
    <definedName name="OSRRefT22_0x_0" localSheetId="59">'332'!$T$26:$T$34</definedName>
    <definedName name="OSRRefT22_0x_0" localSheetId="73">'405'!$T$27:$T$35</definedName>
    <definedName name="OSRRefT22_0x_0" localSheetId="74">'411'!$T$20:$T$28</definedName>
    <definedName name="OSRRefT22_0x_0" localSheetId="75">'412'!$T$20</definedName>
    <definedName name="OSRRefT22_0x_0" localSheetId="76">'413'!$T$20</definedName>
    <definedName name="OSRRefT22_0x_0" localSheetId="77">'415'!$T$27:$T$35</definedName>
    <definedName name="OSRRefT22_0x_0" localSheetId="78">'418'!$T$24:$T$32</definedName>
    <definedName name="OSRRefT22_0x_0" localSheetId="79">'423'!$T$20:$T$27</definedName>
    <definedName name="OSRRefT22_0x_0" localSheetId="80">'424'!$T$20</definedName>
    <definedName name="OSRRefT22_0x_0" localSheetId="81">'425'!$T$21</definedName>
    <definedName name="OSRRefT22_0x_0" localSheetId="84">'430'!$T$20:$T$28</definedName>
    <definedName name="OSRRefT22_0x_0" localSheetId="85">'433'!$T$27:$T$36</definedName>
    <definedName name="OSRRefT22_0x_0" localSheetId="86">'444'!$T$27:$T$36</definedName>
    <definedName name="OSRRefT22_0x_0" localSheetId="87">'450'!$T$26:$T$35</definedName>
    <definedName name="OSRRefT22_0x_0" localSheetId="72">'491'!$T$27:$T$35</definedName>
    <definedName name="OSRRefT22_0x_0" localSheetId="83">'492'!$T$27:$T$36</definedName>
    <definedName name="OSRRefT22_0x_0" localSheetId="89">'501'!$T$21:$T$29</definedName>
    <definedName name="OSRRefT22_0x_0" localSheetId="39">'Div 2'!$T$20:$T$30</definedName>
    <definedName name="OSRRefT22_0x_0" localSheetId="47">'Div 3'!$T$56:$T$65</definedName>
    <definedName name="OSRRefT22_0x_0" localSheetId="70">'Div 4'!$T$29:$T$38</definedName>
    <definedName name="OSRRefT22_0x_0" localSheetId="88">'Div 5'!$T$21:$T$29</definedName>
    <definedName name="OSRRefT22_0x_0" localSheetId="61">'Div 6'!$T$34:$T$43</definedName>
    <definedName name="OSRRefT22_0x_0" localSheetId="2">Summary!$T$65:$T$74</definedName>
    <definedName name="OSRRefT22_10x_0" localSheetId="41">'201'!$T$58:$T$59</definedName>
    <definedName name="OSRRefT22_10x_0" localSheetId="42">'202'!$T$59</definedName>
    <definedName name="OSRRefT22_10x_0" localSheetId="43">'203'!$T$61</definedName>
    <definedName name="OSRRefT22_10x_0" localSheetId="48">'300'!$T$93:$T$94</definedName>
    <definedName name="OSRRefT22_10x_0" localSheetId="49">'300 &amp; 317'!$T$99:$T$100</definedName>
    <definedName name="OSRRefT22_10x_0" localSheetId="50">'301'!$T$59</definedName>
    <definedName name="OSRRefT22_10x_0" localSheetId="52">'307'!$T$70</definedName>
    <definedName name="OSRRefT22_10x_0" localSheetId="53">'308'!$T$74:$T$75</definedName>
    <definedName name="OSRRefT22_10x_0" localSheetId="64">'310'!$T$64:$T$65</definedName>
    <definedName name="OSRRefT22_10x_0" localSheetId="71">'310 &amp; 491'!$T$66</definedName>
    <definedName name="OSRRefT22_10x_0" localSheetId="54">'311'!$T$74:$T$75</definedName>
    <definedName name="OSRRefT22_10x_0" localSheetId="57">'315'!$T$81</definedName>
    <definedName name="OSRRefT22_10x_0" localSheetId="67">'321'!$T$64</definedName>
    <definedName name="OSRRefT22_10x_0" localSheetId="68">'325'!$T$62:$T$63</definedName>
    <definedName name="OSRRefT22_10x_0" localSheetId="58">'326'!$T$62</definedName>
    <definedName name="OSRRefT22_10x_0" localSheetId="51">'330'!$T$70</definedName>
    <definedName name="OSRRefT22_10x_0" localSheetId="56">'331'!$T$82</definedName>
    <definedName name="OSRRefT22_10x_0" localSheetId="73">'405'!$T$66:$T$69</definedName>
    <definedName name="OSRRefT22_10x_0" localSheetId="74">'411'!$T$62</definedName>
    <definedName name="OSRRefT22_10x_0" localSheetId="77">'415'!$T$65:$T$66</definedName>
    <definedName name="OSRRefT22_10x_0" localSheetId="78">'418'!$T$66</definedName>
    <definedName name="OSRRefT22_10x_0" localSheetId="85">'433'!$T$65:$T$67</definedName>
    <definedName name="OSRRefT22_10x_0" localSheetId="86">'444'!$T$65</definedName>
    <definedName name="OSRRefT22_10x_0" localSheetId="87">'450'!$T$64</definedName>
    <definedName name="OSRRefT22_10x_0" localSheetId="72">'491'!$T$65</definedName>
    <definedName name="OSRRefT22_10x_0" localSheetId="83">'492'!$T$65</definedName>
    <definedName name="OSRRefT22_10x_0" localSheetId="89">'501'!$T$60</definedName>
    <definedName name="OSRRefT22_10x_0" localSheetId="39">'Div 2'!$T$60</definedName>
    <definedName name="OSRRefT22_10x_0" localSheetId="47">'Div 3'!$T$96:$T$97</definedName>
    <definedName name="OSRRefT22_10x_0" localSheetId="70">'Div 4'!$T$68</definedName>
    <definedName name="OSRRefT22_10x_0" localSheetId="88">'Div 5'!$T$60</definedName>
    <definedName name="OSRRefT22_10x_0" localSheetId="2">Summary!$T$105:$T$106</definedName>
    <definedName name="OSRRefT22_11x_0" localSheetId="41">'201'!$T$61</definedName>
    <definedName name="OSRRefT22_11x_0" localSheetId="42">'202'!$T$61</definedName>
    <definedName name="OSRRefT22_11x_0" localSheetId="43">'203'!$T$63:$T$66</definedName>
    <definedName name="OSRRefT22_11x_0" localSheetId="48">'300'!$T$96:$T$97</definedName>
    <definedName name="OSRRefT22_11x_0" localSheetId="49">'300 &amp; 317'!$T$102:$T$103</definedName>
    <definedName name="OSRRefT22_11x_0" localSheetId="50">'301'!$T$61</definedName>
    <definedName name="OSRRefT22_11x_0" localSheetId="52">'307'!$T$72:$T$74</definedName>
    <definedName name="OSRRefT22_11x_0" localSheetId="53">'308'!$T$77:$T$78</definedName>
    <definedName name="OSRRefT22_11x_0" localSheetId="64">'310'!$T$67</definedName>
    <definedName name="OSRRefT22_11x_0" localSheetId="71">'310 &amp; 491'!$T$68</definedName>
    <definedName name="OSRRefT22_11x_0" localSheetId="54">'311'!$T$77:$T$78</definedName>
    <definedName name="OSRRefT22_11x_0" localSheetId="57">'315'!$T$83:$T$84</definedName>
    <definedName name="OSRRefT22_11x_0" localSheetId="67">'321'!$T$66</definedName>
    <definedName name="OSRRefT22_11x_0" localSheetId="68">'325'!$T$65:$T$67</definedName>
    <definedName name="OSRRefT22_11x_0" localSheetId="58">'326'!$T$64:$T$65</definedName>
    <definedName name="OSRRefT22_11x_0" localSheetId="51">'330'!$T$72:$T$74</definedName>
    <definedName name="OSRRefT22_11x_0" localSheetId="56">'331'!$T$84</definedName>
    <definedName name="OSRRefT22_11x_0" localSheetId="73">'405'!$T$71</definedName>
    <definedName name="OSRRefT22_11x_0" localSheetId="74">'411'!$T$64</definedName>
    <definedName name="OSRRefT22_11x_0" localSheetId="77">'415'!$T$68:$T$71</definedName>
    <definedName name="OSRRefT22_11x_0" localSheetId="78">'418'!$T$68:$T$75</definedName>
    <definedName name="OSRRefT22_11x_0" localSheetId="85">'433'!$T$69:$T$72</definedName>
    <definedName name="OSRRefT22_11x_0" localSheetId="86">'444'!$T$67:$T$68</definedName>
    <definedName name="OSRRefT22_11x_0" localSheetId="87">'450'!$T$66:$T$67</definedName>
    <definedName name="OSRRefT22_11x_0" localSheetId="72">'491'!$T$67</definedName>
    <definedName name="OSRRefT22_11x_0" localSheetId="83">'492'!$T$67</definedName>
    <definedName name="OSRRefT22_11x_0" localSheetId="89">'501'!$T$62:$T$63</definedName>
    <definedName name="OSRRefT22_11x_0" localSheetId="39">'Div 2'!$T$62</definedName>
    <definedName name="OSRRefT22_11x_0" localSheetId="47">'Div 3'!$T$99:$T$100</definedName>
    <definedName name="OSRRefT22_11x_0" localSheetId="70">'Div 4'!$T$70</definedName>
    <definedName name="OSRRefT22_11x_0" localSheetId="88">'Div 5'!$T$62:$T$63</definedName>
    <definedName name="OSRRefT22_11x_0" localSheetId="2">Summary!$T$108:$T$109</definedName>
    <definedName name="OSRRefT22_12x_0" localSheetId="43">'203'!$T$68</definedName>
    <definedName name="OSRRefT22_12x_0" localSheetId="48">'300'!$T$99</definedName>
    <definedName name="OSRRefT22_12x_0" localSheetId="49">'300 &amp; 317'!$T$105</definedName>
    <definedName name="OSRRefT22_12x_0" localSheetId="50">'301'!$T$63</definedName>
    <definedName name="OSRRefT22_12x_0" localSheetId="52">'307'!$T$76</definedName>
    <definedName name="OSRRefT22_12x_0" localSheetId="64">'310'!$T$69:$T$71</definedName>
    <definedName name="OSRRefT22_12x_0" localSheetId="71">'310 &amp; 491'!$T$70:$T$72</definedName>
    <definedName name="OSRRefT22_12x_0" localSheetId="57">'315'!$T$86:$T$88</definedName>
    <definedName name="OSRRefT22_12x_0" localSheetId="68">'325'!$T$69:$T$73</definedName>
    <definedName name="OSRRefT22_12x_0" localSheetId="58">'326'!$T$67:$T$68</definedName>
    <definedName name="OSRRefT22_12x_0" localSheetId="51">'330'!$T$76</definedName>
    <definedName name="OSRRefT22_12x_0" localSheetId="56">'331'!$T$86</definedName>
    <definedName name="OSRRefT22_12x_0" localSheetId="73">'405'!$T$73:$T$80</definedName>
    <definedName name="OSRRefT22_12x_0" localSheetId="74">'411'!$T$66</definedName>
    <definedName name="OSRRefT22_12x_0" localSheetId="77">'415'!$T$73</definedName>
    <definedName name="OSRRefT22_12x_0" localSheetId="78">'418'!$T$77:$T$78</definedName>
    <definedName name="OSRRefT22_12x_0" localSheetId="85">'433'!$T$74:$T$79</definedName>
    <definedName name="OSRRefT22_12x_0" localSheetId="86">'444'!$T$70:$T$73</definedName>
    <definedName name="OSRRefT22_12x_0" localSheetId="87">'450'!$T$69:$T$72</definedName>
    <definedName name="OSRRefT22_12x_0" localSheetId="72">'491'!$T$69:$T$71</definedName>
    <definedName name="OSRRefT22_12x_0" localSheetId="83">'492'!$T$69:$T$71</definedName>
    <definedName name="OSRRefT22_12x_0" localSheetId="89">'501'!$T$65</definedName>
    <definedName name="OSRRefT22_12x_0" localSheetId="39">'Div 2'!$T$64:$T$67</definedName>
    <definedName name="OSRRefT22_12x_0" localSheetId="47">'Div 3'!$T$102</definedName>
    <definedName name="OSRRefT22_12x_0" localSheetId="70">'Div 4'!$T$72</definedName>
    <definedName name="OSRRefT22_12x_0" localSheetId="88">'Div 5'!$T$65</definedName>
    <definedName name="OSRRefT22_12x_0" localSheetId="2">Summary!$T$111</definedName>
    <definedName name="OSRRefT22_13x_0" localSheetId="43">'203'!$T$70</definedName>
    <definedName name="OSRRefT22_13x_0" localSheetId="48">'300'!$T$101</definedName>
    <definedName name="OSRRefT22_13x_0" localSheetId="49">'300 &amp; 317'!$T$107</definedName>
    <definedName name="OSRRefT22_13x_0" localSheetId="50">'301'!$T$65</definedName>
    <definedName name="OSRRefT22_13x_0" localSheetId="64">'310'!$T$73:$T$77</definedName>
    <definedName name="OSRRefT22_13x_0" localSheetId="71">'310 &amp; 491'!$T$74</definedName>
    <definedName name="OSRRefT22_13x_0" localSheetId="57">'315'!$T$90:$T$91</definedName>
    <definedName name="OSRRefT22_13x_0" localSheetId="68">'325'!$T$75:$T$76</definedName>
    <definedName name="OSRRefT22_13x_0" localSheetId="58">'326'!$T$70:$T$71</definedName>
    <definedName name="OSRRefT22_13x_0" localSheetId="56">'331'!$T$88:$T$89</definedName>
    <definedName name="OSRRefT22_13x_0" localSheetId="73">'405'!$T$82</definedName>
    <definedName name="OSRRefT22_13x_0" localSheetId="74">'411'!$T$68</definedName>
    <definedName name="OSRRefT22_13x_0" localSheetId="77">'415'!$T$75:$T$80</definedName>
    <definedName name="OSRRefT22_13x_0" localSheetId="78">'418'!$T$80</definedName>
    <definedName name="OSRRefT22_13x_0" localSheetId="85">'433'!$T$81</definedName>
    <definedName name="OSRRefT22_13x_0" localSheetId="86">'444'!$T$75:$T$80</definedName>
    <definedName name="OSRRefT22_13x_0" localSheetId="87">'450'!$T$74:$T$79</definedName>
    <definedName name="OSRRefT22_13x_0" localSheetId="72">'491'!$T$73:$T$77</definedName>
    <definedName name="OSRRefT22_13x_0" localSheetId="83">'492'!$T$73:$T$76</definedName>
    <definedName name="OSRRefT22_13x_0" localSheetId="39">'Div 2'!$T$69:$T$72</definedName>
    <definedName name="OSRRefT22_13x_0" localSheetId="47">'Div 3'!$T$104</definedName>
    <definedName name="OSRRefT22_13x_0" localSheetId="70">'Div 4'!$T$74</definedName>
    <definedName name="OSRRefT22_13x_0" localSheetId="2">Summary!$T$113</definedName>
    <definedName name="OSRRefT22_14x_0" localSheetId="48">'300'!$T$103</definedName>
    <definedName name="OSRRefT22_14x_0" localSheetId="49">'300 &amp; 317'!$T$109</definedName>
    <definedName name="OSRRefT22_14x_0" localSheetId="50">'301'!$T$67:$T$70</definedName>
    <definedName name="OSRRefT22_14x_0" localSheetId="64">'310'!$T$79:$T$80</definedName>
    <definedName name="OSRRefT22_14x_0" localSheetId="71">'310 &amp; 491'!$T$76:$T$80</definedName>
    <definedName name="OSRRefT22_14x_0" localSheetId="57">'315'!$T$93:$T$95</definedName>
    <definedName name="OSRRefT22_14x_0" localSheetId="68">'325'!$T$78</definedName>
    <definedName name="OSRRefT22_14x_0" localSheetId="58">'326'!$T$73:$T$75</definedName>
    <definedName name="OSRRefT22_14x_0" localSheetId="56">'331'!$T$91:$T$93</definedName>
    <definedName name="OSRRefT22_14x_0" localSheetId="73">'405'!$T$84</definedName>
    <definedName name="OSRRefT22_14x_0" localSheetId="77">'415'!$T$82:$T$83</definedName>
    <definedName name="OSRRefT22_14x_0" localSheetId="78">'418'!$T$82</definedName>
    <definedName name="OSRRefT22_14x_0" localSheetId="86">'444'!$T$82</definedName>
    <definedName name="OSRRefT22_14x_0" localSheetId="87">'450'!$T$81</definedName>
    <definedName name="OSRRefT22_14x_0" localSheetId="72">'491'!$T$79</definedName>
    <definedName name="OSRRefT22_14x_0" localSheetId="83">'492'!$T$78:$T$84</definedName>
    <definedName name="OSRRefT22_14x_0" localSheetId="39">'Div 2'!$T$74:$T$75</definedName>
    <definedName name="OSRRefT22_14x_0" localSheetId="47">'Div 3'!$T$106</definedName>
    <definedName name="OSRRefT22_14x_0" localSheetId="70">'Div 4'!$T$76:$T$78</definedName>
    <definedName name="OSRRefT22_14x_0" localSheetId="2">Summary!$T$115</definedName>
    <definedName name="OSRRefT22_15x_0" localSheetId="48">'300'!$T$105</definedName>
    <definedName name="OSRRefT22_15x_0" localSheetId="49">'300 &amp; 317'!$T$111</definedName>
    <definedName name="OSRRefT22_15x_0" localSheetId="50">'301'!$T$72:$T$73</definedName>
    <definedName name="OSRRefT22_15x_0" localSheetId="64">'310'!$T$82</definedName>
    <definedName name="OSRRefT22_15x_0" localSheetId="71">'310 &amp; 491'!$T$82</definedName>
    <definedName name="OSRRefT22_15x_0" localSheetId="57">'315'!$T$97</definedName>
    <definedName name="OSRRefT22_15x_0" localSheetId="58">'326'!$T$77</definedName>
    <definedName name="OSRRefT22_15x_0" localSheetId="56">'331'!$T$95:$T$96</definedName>
    <definedName name="OSRRefT22_15x_0" localSheetId="77">'415'!$T$85</definedName>
    <definedName name="OSRRefT22_15x_0" localSheetId="86">'444'!$T$84</definedName>
    <definedName name="OSRRefT22_15x_0" localSheetId="87">'450'!$T$83</definedName>
    <definedName name="OSRRefT22_15x_0" localSheetId="72">'491'!$T$81:$T$89</definedName>
    <definedName name="OSRRefT22_15x_0" localSheetId="83">'492'!$T$86:$T$87</definedName>
    <definedName name="OSRRefT22_15x_0" localSheetId="39">'Div 2'!$T$77</definedName>
    <definedName name="OSRRefT22_15x_0" localSheetId="47">'Div 3'!$T$108</definedName>
    <definedName name="OSRRefT22_15x_0" localSheetId="70">'Div 4'!$T$80:$T$84</definedName>
    <definedName name="OSRRefT22_15x_0" localSheetId="2">Summary!$T$117</definedName>
    <definedName name="OSRRefT22_16x_0" localSheetId="48">'300'!$T$107:$T$110</definedName>
    <definedName name="OSRRefT22_16x_0" localSheetId="49">'300 &amp; 317'!$T$113:$T$116</definedName>
    <definedName name="OSRRefT22_16x_0" localSheetId="50">'301'!$T$75</definedName>
    <definedName name="OSRRefT22_16x_0" localSheetId="64">'310'!$T$84</definedName>
    <definedName name="OSRRefT22_16x_0" localSheetId="71">'310 &amp; 491'!$T$84:$T$93</definedName>
    <definedName name="OSRRefT22_16x_0" localSheetId="57">'315'!$T$99</definedName>
    <definedName name="OSRRefT22_16x_0" localSheetId="58">'326'!$T$79:$T$80</definedName>
    <definedName name="OSRRefT22_16x_0" localSheetId="56">'331'!$T$98:$T$99</definedName>
    <definedName name="OSRRefT22_16x_0" localSheetId="77">'415'!$T$87</definedName>
    <definedName name="OSRRefT22_16x_0" localSheetId="72">'491'!$T$91:$T$92</definedName>
    <definedName name="OSRRefT22_16x_0" localSheetId="83">'492'!$T$89</definedName>
    <definedName name="OSRRefT22_16x_0" localSheetId="39">'Div 2'!$T$79:$T$84</definedName>
    <definedName name="OSRRefT22_16x_0" localSheetId="47">'Div 3'!$T$110</definedName>
    <definedName name="OSRRefT22_16x_0" localSheetId="70">'Div 4'!$T$86</definedName>
    <definedName name="OSRRefT22_16x_0" localSheetId="2">Summary!$T$119</definedName>
    <definedName name="OSRRefT22_17x_0" localSheetId="48">'300'!$T$112:$T$115</definedName>
    <definedName name="OSRRefT22_17x_0" localSheetId="49">'300 &amp; 317'!$T$118:$T$121</definedName>
    <definedName name="OSRRefT22_17x_0" localSheetId="50">'301'!$T$77:$T$81</definedName>
    <definedName name="OSRRefT22_17x_0" localSheetId="71">'310 &amp; 491'!$T$95:$T$96</definedName>
    <definedName name="OSRRefT22_17x_0" localSheetId="58">'326'!$T$82</definedName>
    <definedName name="OSRRefT22_17x_0" localSheetId="56">'331'!$T$101:$T$104</definedName>
    <definedName name="OSRRefT22_17x_0" localSheetId="72">'491'!$T$94</definedName>
    <definedName name="OSRRefT22_17x_0" localSheetId="83">'492'!$T$91</definedName>
    <definedName name="OSRRefT22_17x_0" localSheetId="39">'Div 2'!$T$86:$T$87</definedName>
    <definedName name="OSRRefT22_17x_0" localSheetId="47">'Div 3'!$T$112:$T$115</definedName>
    <definedName name="OSRRefT22_17x_0" localSheetId="70">'Div 4'!$T$88:$T$97</definedName>
    <definedName name="OSRRefT22_17x_0" localSheetId="2">Summary!$T$121</definedName>
    <definedName name="OSRRefT22_18x_0" localSheetId="48">'300'!$T$117:$T$119</definedName>
    <definedName name="OSRRefT22_18x_0" localSheetId="49">'300 &amp; 317'!$T$123:$T$125</definedName>
    <definedName name="OSRRefT22_18x_0" localSheetId="50">'301'!$T$83</definedName>
    <definedName name="OSRRefT22_18x_0" localSheetId="71">'310 &amp; 491'!$T$98</definedName>
    <definedName name="OSRRefT22_18x_0" localSheetId="56">'331'!$T$106</definedName>
    <definedName name="OSRRefT22_18x_0" localSheetId="72">'491'!$T$96</definedName>
    <definedName name="OSRRefT22_18x_0" localSheetId="39">'Div 2'!$T$89</definedName>
    <definedName name="OSRRefT22_18x_0" localSheetId="47">'Div 3'!$T$117:$T$120</definedName>
    <definedName name="OSRRefT22_18x_0" localSheetId="70">'Div 4'!$T$99:$T$100</definedName>
    <definedName name="OSRRefT22_18x_0" localSheetId="2">Summary!$T$123:$T$126</definedName>
    <definedName name="OSRRefT22_19x_0" localSheetId="48">'300'!$T$121:$T$122</definedName>
    <definedName name="OSRRefT22_19x_0" localSheetId="49">'300 &amp; 317'!$T$127:$T$128</definedName>
    <definedName name="OSRRefT22_19x_0" localSheetId="50">'301'!$T$85</definedName>
    <definedName name="OSRRefT22_19x_0" localSheetId="71">'310 &amp; 491'!$T$100</definedName>
    <definedName name="OSRRefT22_19x_0" localSheetId="56">'331'!$T$108:$T$109</definedName>
    <definedName name="OSRRefT22_19x_0" localSheetId="39">'Div 2'!$T$91</definedName>
    <definedName name="OSRRefT22_19x_0" localSheetId="47">'Div 3'!$T$122:$T$125</definedName>
    <definedName name="OSRRefT22_19x_0" localSheetId="70">'Div 4'!$T$102</definedName>
    <definedName name="OSRRefT22_19x_0" localSheetId="2">Summary!$T$128:$T$131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'204'!$T$30:$T$39</definedName>
    <definedName name="OSRRefT22_1x_0" localSheetId="45">'205'!$T$30:$T$39</definedName>
    <definedName name="OSRRefT22_1x_0" localSheetId="46">'206'!$T$30:$T$39</definedName>
    <definedName name="OSRRefT22_1x_0" localSheetId="48">'300'!$T$64:$T$73</definedName>
    <definedName name="OSRRefT22_1x_0" localSheetId="49">'300 &amp; 317'!$T$70:$T$79</definedName>
    <definedName name="OSRRefT22_1x_0" localSheetId="50">'301'!$T$31:$T$40</definedName>
    <definedName name="OSRRefT22_1x_0" localSheetId="52">'307'!$T$42:$T$51</definedName>
    <definedName name="OSRRefT22_1x_0" localSheetId="53">'308'!$T$45:$T$54</definedName>
    <definedName name="OSRRefT22_1x_0" localSheetId="65">'309'!$T$22:$T$23</definedName>
    <definedName name="OSRRefT22_1x_0" localSheetId="64">'310'!$T$36:$T$45</definedName>
    <definedName name="OSRRefT22_1x_0" localSheetId="71">'310 &amp; 491'!$T$38:$T$47</definedName>
    <definedName name="OSRRefT22_1x_0" localSheetId="54">'311'!$T$45:$T$54</definedName>
    <definedName name="OSRRefT22_1x_0" localSheetId="66">'313'!$T$22</definedName>
    <definedName name="OSRRefT22_1x_0" localSheetId="57">'315'!$T$53:$T$62</definedName>
    <definedName name="OSRRefT22_1x_0" localSheetId="60">'316'!$T$36:$T$45</definedName>
    <definedName name="OSRRefT22_1x_0" localSheetId="62">'317'!$T$45:$T$54</definedName>
    <definedName name="OSRRefT22_1x_0" localSheetId="67">'321'!$T$33:$T$42</definedName>
    <definedName name="OSRRefT22_1x_0" localSheetId="68">'325'!$T$34:$T$43</definedName>
    <definedName name="OSRRefT22_1x_0" localSheetId="58">'326'!$T$35:$T$44</definedName>
    <definedName name="OSRRefT22_1x_0" localSheetId="51">'330'!$T$42:$T$51</definedName>
    <definedName name="OSRRefT22_1x_0" localSheetId="56">'331'!$T$53:$T$62</definedName>
    <definedName name="OSRRefT22_1x_0" localSheetId="59">'332'!$T$36:$T$45</definedName>
    <definedName name="OSRRefT22_1x_0" localSheetId="73">'405'!$T$37:$T$46</definedName>
    <definedName name="OSRRefT22_1x_0" localSheetId="74">'411'!$T$30:$T$39</definedName>
    <definedName name="OSRRefT22_1x_0" localSheetId="75">'412'!$T$22</definedName>
    <definedName name="OSRRefT22_1x_0" localSheetId="76">'413'!$T$22</definedName>
    <definedName name="OSRRefT22_1x_0" localSheetId="77">'415'!$T$37:$T$46</definedName>
    <definedName name="OSRRefT22_1x_0" localSheetId="78">'418'!$T$34:$T$43</definedName>
    <definedName name="OSRRefT22_1x_0" localSheetId="79">'423'!$T$29:$T$38</definedName>
    <definedName name="OSRRefT22_1x_0" localSheetId="80">'424'!$T$22</definedName>
    <definedName name="OSRRefT22_1x_0" localSheetId="81">'425'!$T$23</definedName>
    <definedName name="OSRRefT22_1x_0" localSheetId="84">'430'!$T$30:$T$39</definedName>
    <definedName name="OSRRefT22_1x_0" localSheetId="85">'433'!$T$38:$T$47</definedName>
    <definedName name="OSRRefT22_1x_0" localSheetId="86">'444'!$T$38:$T$47</definedName>
    <definedName name="OSRRefT22_1x_0" localSheetId="87">'450'!$T$37:$T$46</definedName>
    <definedName name="OSRRefT22_1x_0" localSheetId="72">'491'!$T$37:$T$46</definedName>
    <definedName name="OSRRefT22_1x_0" localSheetId="83">'492'!$T$38:$T$47</definedName>
    <definedName name="OSRRefT22_1x_0" localSheetId="89">'501'!$T$31:$T$40</definedName>
    <definedName name="OSRRefT22_1x_0" localSheetId="39">'Div 2'!$T$32:$T$41</definedName>
    <definedName name="OSRRefT22_1x_0" localSheetId="47">'Div 3'!$T$67:$T$76</definedName>
    <definedName name="OSRRefT22_1x_0" localSheetId="70">'Div 4'!$T$40:$T$49</definedName>
    <definedName name="OSRRefT22_1x_0" localSheetId="88">'Div 5'!$T$31:$T$40</definedName>
    <definedName name="OSRRefT22_1x_0" localSheetId="61">'Div 6'!$T$45:$T$54</definedName>
    <definedName name="OSRRefT22_1x_0" localSheetId="2">Summary!$T$76:$T$85</definedName>
    <definedName name="OSRRefT22_20x_0" localSheetId="48">'300'!$T$124:$T$129</definedName>
    <definedName name="OSRRefT22_20x_0" localSheetId="49">'300 &amp; 317'!$T$130:$T$135</definedName>
    <definedName name="OSRRefT22_20x_0" localSheetId="50">'301'!$T$87</definedName>
    <definedName name="OSRRefT22_20x_0" localSheetId="56">'331'!$T$111</definedName>
    <definedName name="OSRRefT22_20x_0" localSheetId="47">'Div 3'!$T$127:$T$128</definedName>
    <definedName name="OSRRefT22_20x_0" localSheetId="70">'Div 4'!$T$104</definedName>
    <definedName name="OSRRefT22_20x_0" localSheetId="2">Summary!$T$133:$T$137</definedName>
    <definedName name="OSRRefT22_21x_0" localSheetId="48">'300'!$T$131:$T$132</definedName>
    <definedName name="OSRRefT22_21x_0" localSheetId="49">'300 &amp; 317'!$T$137:$T$138</definedName>
    <definedName name="OSRRefT22_21x_0" localSheetId="47">'Div 3'!$T$130:$T$136</definedName>
    <definedName name="OSRRefT22_21x_0" localSheetId="70">'Div 4'!$T$106</definedName>
    <definedName name="OSRRefT22_21x_0" localSheetId="2">Summary!$T$139:$T$140</definedName>
    <definedName name="OSRRefT22_22x_0" localSheetId="48">'300'!$T$134:$T$136</definedName>
    <definedName name="OSRRefT22_22x_0" localSheetId="49">'300 &amp; 317'!$T$140:$T$142</definedName>
    <definedName name="OSRRefT22_22x_0" localSheetId="47">'Div 3'!$T$138:$T$139</definedName>
    <definedName name="OSRRefT22_22x_0" localSheetId="2">Summary!$T$142:$T$151</definedName>
    <definedName name="OSRRefT22_23x_0" localSheetId="48">'300'!$T$138</definedName>
    <definedName name="OSRRefT22_23x_0" localSheetId="49">'300 &amp; 317'!$T$144</definedName>
    <definedName name="OSRRefT22_23x_0" localSheetId="47">'Div 3'!$T$141</definedName>
    <definedName name="OSRRefT22_23x_0" localSheetId="2">Summary!$T$153:$T$154</definedName>
    <definedName name="OSRRefT22_24x_0" localSheetId="47">'Div 3'!$T$143:$T$145</definedName>
    <definedName name="OSRRefT22_24x_0" localSheetId="2">Summary!$T$156</definedName>
    <definedName name="OSRRefT22_25x_0" localSheetId="47">'Div 3'!$T$147</definedName>
    <definedName name="OSRRefT22_25x_0" localSheetId="2">Summary!$T$158:$T$160</definedName>
    <definedName name="OSRRefT22_26x_0" localSheetId="2">Summary!$T$162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'204'!$T$41</definedName>
    <definedName name="OSRRefT22_2x_0" localSheetId="45">'205'!$T$41</definedName>
    <definedName name="OSRRefT22_2x_0" localSheetId="46">'206'!$T$41</definedName>
    <definedName name="OSRRefT22_2x_0" localSheetId="48">'300'!$T$75</definedName>
    <definedName name="OSRRefT22_2x_0" localSheetId="49">'300 &amp; 317'!$T$81</definedName>
    <definedName name="OSRRefT22_2x_0" localSheetId="50">'301'!$T$42</definedName>
    <definedName name="OSRRefT22_2x_0" localSheetId="52">'307'!$T$53</definedName>
    <definedName name="OSRRefT22_2x_0" localSheetId="53">'308'!$T$56</definedName>
    <definedName name="OSRRefT22_2x_0" localSheetId="65">'309'!$T$25</definedName>
    <definedName name="OSRRefT22_2x_0" localSheetId="64">'310'!$T$47</definedName>
    <definedName name="OSRRefT22_2x_0" localSheetId="71">'310 &amp; 491'!$T$49</definedName>
    <definedName name="OSRRefT22_2x_0" localSheetId="54">'311'!$T$56</definedName>
    <definedName name="OSRRefT22_2x_0" localSheetId="57">'315'!$T$64</definedName>
    <definedName name="OSRRefT22_2x_0" localSheetId="60">'316'!$T$47</definedName>
    <definedName name="OSRRefT22_2x_0" localSheetId="62">'317'!$T$56</definedName>
    <definedName name="OSRRefT22_2x_0" localSheetId="67">'321'!$T$44</definedName>
    <definedName name="OSRRefT22_2x_0" localSheetId="68">'325'!$T$45</definedName>
    <definedName name="OSRRefT22_2x_0" localSheetId="58">'326'!$T$46</definedName>
    <definedName name="OSRRefT22_2x_0" localSheetId="51">'330'!$T$53</definedName>
    <definedName name="OSRRefT22_2x_0" localSheetId="56">'331'!$T$64</definedName>
    <definedName name="OSRRefT22_2x_0" localSheetId="59">'332'!$T$47</definedName>
    <definedName name="OSRRefT22_2x_0" localSheetId="73">'405'!$T$48</definedName>
    <definedName name="OSRRefT22_2x_0" localSheetId="74">'411'!$T$41</definedName>
    <definedName name="OSRRefT22_2x_0" localSheetId="75">'412'!$T$24</definedName>
    <definedName name="OSRRefT22_2x_0" localSheetId="77">'415'!$T$48</definedName>
    <definedName name="OSRRefT22_2x_0" localSheetId="78">'418'!$T$45</definedName>
    <definedName name="OSRRefT22_2x_0" localSheetId="79">'423'!$T$40</definedName>
    <definedName name="OSRRefT22_2x_0" localSheetId="84">'430'!$T$41</definedName>
    <definedName name="OSRRefT22_2x_0" localSheetId="85">'433'!$T$49</definedName>
    <definedName name="OSRRefT22_2x_0" localSheetId="86">'444'!$T$49</definedName>
    <definedName name="OSRRefT22_2x_0" localSheetId="87">'450'!$T$48</definedName>
    <definedName name="OSRRefT22_2x_0" localSheetId="72">'491'!$T$48</definedName>
    <definedName name="OSRRefT22_2x_0" localSheetId="83">'492'!$T$49</definedName>
    <definedName name="OSRRefT22_2x_0" localSheetId="89">'501'!$T$42</definedName>
    <definedName name="OSRRefT22_2x_0" localSheetId="39">'Div 2'!$T$43</definedName>
    <definedName name="OSRRefT22_2x_0" localSheetId="47">'Div 3'!$T$78</definedName>
    <definedName name="OSRRefT22_2x_0" localSheetId="70">'Div 4'!$T$51</definedName>
    <definedName name="OSRRefT22_2x_0" localSheetId="88">'Div 5'!$T$42</definedName>
    <definedName name="OSRRefT22_2x_0" localSheetId="61">'Div 6'!$T$56</definedName>
    <definedName name="OSRRefT22_2x_0" localSheetId="2">Summary!$T$87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'204'!$T$43:$T$44</definedName>
    <definedName name="OSRRefT22_3x_0" localSheetId="45">'205'!$T$43</definedName>
    <definedName name="OSRRefT22_3x_0" localSheetId="46">'206'!$T$43</definedName>
    <definedName name="OSRRefT22_3x_0" localSheetId="48">'300'!$T$77</definedName>
    <definedName name="OSRRefT22_3x_0" localSheetId="49">'300 &amp; 317'!$T$83</definedName>
    <definedName name="OSRRefT22_3x_0" localSheetId="50">'301'!$T$44</definedName>
    <definedName name="OSRRefT22_3x_0" localSheetId="52">'307'!$T$55</definedName>
    <definedName name="OSRRefT22_3x_0" localSheetId="53">'308'!$T$58</definedName>
    <definedName name="OSRRefT22_3x_0" localSheetId="64">'310'!$T$49</definedName>
    <definedName name="OSRRefT22_3x_0" localSheetId="71">'310 &amp; 491'!$T$51</definedName>
    <definedName name="OSRRefT22_3x_0" localSheetId="54">'311'!$T$58</definedName>
    <definedName name="OSRRefT22_3x_0" localSheetId="57">'315'!$T$66</definedName>
    <definedName name="OSRRefT22_3x_0" localSheetId="60">'316'!$T$49</definedName>
    <definedName name="OSRRefT22_3x_0" localSheetId="62">'317'!$T$58</definedName>
    <definedName name="OSRRefT22_3x_0" localSheetId="67">'321'!$T$46</definedName>
    <definedName name="OSRRefT22_3x_0" localSheetId="68">'325'!$T$47</definedName>
    <definedName name="OSRRefT22_3x_0" localSheetId="58">'326'!$T$48</definedName>
    <definedName name="OSRRefT22_3x_0" localSheetId="51">'330'!$T$55</definedName>
    <definedName name="OSRRefT22_3x_0" localSheetId="56">'331'!$T$66</definedName>
    <definedName name="OSRRefT22_3x_0" localSheetId="59">'332'!$T$49</definedName>
    <definedName name="OSRRefT22_3x_0" localSheetId="73">'405'!$T$50</definedName>
    <definedName name="OSRRefT22_3x_0" localSheetId="74">'411'!$T$43:$T$44</definedName>
    <definedName name="OSRRefT22_3x_0" localSheetId="77">'415'!$T$50</definedName>
    <definedName name="OSRRefT22_3x_0" localSheetId="78">'418'!$T$47</definedName>
    <definedName name="OSRRefT22_3x_0" localSheetId="79">'423'!$T$42</definedName>
    <definedName name="OSRRefT22_3x_0" localSheetId="84">'430'!$T$43</definedName>
    <definedName name="OSRRefT22_3x_0" localSheetId="85">'433'!$T$51</definedName>
    <definedName name="OSRRefT22_3x_0" localSheetId="86">'444'!$T$51</definedName>
    <definedName name="OSRRefT22_3x_0" localSheetId="87">'450'!$T$50</definedName>
    <definedName name="OSRRefT22_3x_0" localSheetId="72">'491'!$T$50</definedName>
    <definedName name="OSRRefT22_3x_0" localSheetId="83">'492'!$T$51</definedName>
    <definedName name="OSRRefT22_3x_0" localSheetId="89">'501'!$T$44</definedName>
    <definedName name="OSRRefT22_3x_0" localSheetId="39">'Div 2'!$T$45</definedName>
    <definedName name="OSRRefT22_3x_0" localSheetId="47">'Div 3'!$T$80</definedName>
    <definedName name="OSRRefT22_3x_0" localSheetId="70">'Div 4'!$T$53</definedName>
    <definedName name="OSRRefT22_3x_0" localSheetId="88">'Div 5'!$T$44</definedName>
    <definedName name="OSRRefT22_3x_0" localSheetId="61">'Div 6'!$T$58</definedName>
    <definedName name="OSRRefT22_3x_0" localSheetId="2">Summary!$T$89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'205'!$T$45:$T$46</definedName>
    <definedName name="OSRRefT22_4x_0" localSheetId="46">'206'!$T$45:$T$46</definedName>
    <definedName name="OSRRefT22_4x_0" localSheetId="48">'300'!$T$79</definedName>
    <definedName name="OSRRefT22_4x_0" localSheetId="49">'300 &amp; 317'!$T$85</definedName>
    <definedName name="OSRRefT22_4x_0" localSheetId="50">'301'!$T$46</definedName>
    <definedName name="OSRRefT22_4x_0" localSheetId="52">'307'!$T$57</definedName>
    <definedName name="OSRRefT22_4x_0" localSheetId="53">'308'!$T$60</definedName>
    <definedName name="OSRRefT22_4x_0" localSheetId="64">'310'!$T$51</definedName>
    <definedName name="OSRRefT22_4x_0" localSheetId="71">'310 &amp; 491'!$T$53</definedName>
    <definedName name="OSRRefT22_4x_0" localSheetId="54">'311'!$T$60</definedName>
    <definedName name="OSRRefT22_4x_0" localSheetId="57">'315'!$T$68</definedName>
    <definedName name="OSRRefT22_4x_0" localSheetId="60">'316'!$T$51</definedName>
    <definedName name="OSRRefT22_4x_0" localSheetId="62">'317'!$T$60</definedName>
    <definedName name="OSRRefT22_4x_0" localSheetId="67">'321'!$T$48</definedName>
    <definedName name="OSRRefT22_4x_0" localSheetId="68">'325'!$T$49</definedName>
    <definedName name="OSRRefT22_4x_0" localSheetId="58">'326'!$T$50</definedName>
    <definedName name="OSRRefT22_4x_0" localSheetId="51">'330'!$T$57</definedName>
    <definedName name="OSRRefT22_4x_0" localSheetId="56">'331'!$T$68</definedName>
    <definedName name="OSRRefT22_4x_0" localSheetId="59">'332'!$T$51</definedName>
    <definedName name="OSRRefT22_4x_0" localSheetId="73">'405'!$T$52</definedName>
    <definedName name="OSRRefT22_4x_0" localSheetId="74">'411'!$T$46</definedName>
    <definedName name="OSRRefT22_4x_0" localSheetId="77">'415'!$T$52</definedName>
    <definedName name="OSRRefT22_4x_0" localSheetId="78">'418'!$T$49:$T$50</definedName>
    <definedName name="OSRRefT22_4x_0" localSheetId="79">'423'!$T$44</definedName>
    <definedName name="OSRRefT22_4x_0" localSheetId="84">'430'!$T$45:$T$46</definedName>
    <definedName name="OSRRefT22_4x_0" localSheetId="85">'433'!$T$53</definedName>
    <definedName name="OSRRefT22_4x_0" localSheetId="86">'444'!$T$53</definedName>
    <definedName name="OSRRefT22_4x_0" localSheetId="87">'450'!$T$52</definedName>
    <definedName name="OSRRefT22_4x_0" localSheetId="72">'491'!$T$52</definedName>
    <definedName name="OSRRefT22_4x_0" localSheetId="83">'492'!$T$53</definedName>
    <definedName name="OSRRefT22_4x_0" localSheetId="89">'501'!$T$46</definedName>
    <definedName name="OSRRefT22_4x_0" localSheetId="39">'Div 2'!$T$47</definedName>
    <definedName name="OSRRefT22_4x_0" localSheetId="47">'Div 3'!$T$82</definedName>
    <definedName name="OSRRefT22_4x_0" localSheetId="70">'Div 4'!$T$55</definedName>
    <definedName name="OSRRefT22_4x_0" localSheetId="88">'Div 5'!$T$46</definedName>
    <definedName name="OSRRefT22_4x_0" localSheetId="61">'Div 6'!$T$60</definedName>
    <definedName name="OSRRefT22_4x_0" localSheetId="2">Summary!$T$91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'204'!$T$48:$T$51</definedName>
    <definedName name="OSRRefT22_5x_0" localSheetId="45">'205'!$T$48</definedName>
    <definedName name="OSRRefT22_5x_0" localSheetId="46">'206'!$T$48</definedName>
    <definedName name="OSRRefT22_5x_0" localSheetId="48">'300'!$T$81:$T$82</definedName>
    <definedName name="OSRRefT22_5x_0" localSheetId="49">'300 &amp; 317'!$T$87:$T$88</definedName>
    <definedName name="OSRRefT22_5x_0" localSheetId="50">'301'!$T$48:$T$49</definedName>
    <definedName name="OSRRefT22_5x_0" localSheetId="52">'307'!$T$59:$T$60</definedName>
    <definedName name="OSRRefT22_5x_0" localSheetId="53">'308'!$T$62</definedName>
    <definedName name="OSRRefT22_5x_0" localSheetId="64">'310'!$T$53:$T$54</definedName>
    <definedName name="OSRRefT22_5x_0" localSheetId="71">'310 &amp; 491'!$T$55:$T$56</definedName>
    <definedName name="OSRRefT22_5x_0" localSheetId="54">'311'!$T$62</definedName>
    <definedName name="OSRRefT22_5x_0" localSheetId="57">'315'!$T$70</definedName>
    <definedName name="OSRRefT22_5x_0" localSheetId="60">'316'!$T$53:$T$54</definedName>
    <definedName name="OSRRefT22_5x_0" localSheetId="62">'317'!$T$62</definedName>
    <definedName name="OSRRefT22_5x_0" localSheetId="67">'321'!$T$50</definedName>
    <definedName name="OSRRefT22_5x_0" localSheetId="68">'325'!$T$51:$T$52</definedName>
    <definedName name="OSRRefT22_5x_0" localSheetId="58">'326'!$T$52</definedName>
    <definedName name="OSRRefT22_5x_0" localSheetId="51">'330'!$T$59:$T$60</definedName>
    <definedName name="OSRRefT22_5x_0" localSheetId="56">'331'!$T$70</definedName>
    <definedName name="OSRRefT22_5x_0" localSheetId="59">'332'!$T$53:$T$54</definedName>
    <definedName name="OSRRefT22_5x_0" localSheetId="73">'405'!$T$54:$T$55</definedName>
    <definedName name="OSRRefT22_5x_0" localSheetId="74">'411'!$T$48</definedName>
    <definedName name="OSRRefT22_5x_0" localSheetId="77">'415'!$T$54:$T$55</definedName>
    <definedName name="OSRRefT22_5x_0" localSheetId="78">'418'!$T$52</definedName>
    <definedName name="OSRRefT22_5x_0" localSheetId="79">'423'!$T$46</definedName>
    <definedName name="OSRRefT22_5x_0" localSheetId="84">'430'!$T$48:$T$49</definedName>
    <definedName name="OSRRefT22_5x_0" localSheetId="85">'433'!$T$55</definedName>
    <definedName name="OSRRefT22_5x_0" localSheetId="86">'444'!$T$55</definedName>
    <definedName name="OSRRefT22_5x_0" localSheetId="87">'450'!$T$54</definedName>
    <definedName name="OSRRefT22_5x_0" localSheetId="72">'491'!$T$54:$T$55</definedName>
    <definedName name="OSRRefT22_5x_0" localSheetId="83">'492'!$T$55</definedName>
    <definedName name="OSRRefT22_5x_0" localSheetId="89">'501'!$T$48</definedName>
    <definedName name="OSRRefT22_5x_0" localSheetId="39">'Div 2'!$T$49:$T$50</definedName>
    <definedName name="OSRRefT22_5x_0" localSheetId="47">'Div 3'!$T$84:$T$85</definedName>
    <definedName name="OSRRefT22_5x_0" localSheetId="70">'Div 4'!$T$57:$T$58</definedName>
    <definedName name="OSRRefT22_5x_0" localSheetId="88">'Div 5'!$T$48</definedName>
    <definedName name="OSRRefT22_5x_0" localSheetId="61">'Div 6'!$T$62</definedName>
    <definedName name="OSRRefT22_5x_0" localSheetId="2">Summary!$T$93:$T$94</definedName>
    <definedName name="OSRRefT22_6x_0" localSheetId="41">'201'!$T$49</definedName>
    <definedName name="OSRRefT22_6x_0" localSheetId="42">'202'!$T$49:$T$51</definedName>
    <definedName name="OSRRefT22_6x_0" localSheetId="43">'203'!$T$50</definedName>
    <definedName name="OSRRefT22_6x_0" localSheetId="44">'204'!$T$53</definedName>
    <definedName name="OSRRefT22_6x_0" localSheetId="45">'205'!$T$50:$T$52</definedName>
    <definedName name="OSRRefT22_6x_0" localSheetId="46">'206'!$T$50:$T$51</definedName>
    <definedName name="OSRRefT22_6x_0" localSheetId="48">'300'!$T$84:$T$85</definedName>
    <definedName name="OSRRefT22_6x_0" localSheetId="49">'300 &amp; 317'!$T$90:$T$91</definedName>
    <definedName name="OSRRefT22_6x_0" localSheetId="50">'301'!$T$51</definedName>
    <definedName name="OSRRefT22_6x_0" localSheetId="52">'307'!$T$62</definedName>
    <definedName name="OSRRefT22_6x_0" localSheetId="53">'308'!$T$64</definedName>
    <definedName name="OSRRefT22_6x_0" localSheetId="64">'310'!$T$56</definedName>
    <definedName name="OSRRefT22_6x_0" localSheetId="71">'310 &amp; 491'!$T$58</definedName>
    <definedName name="OSRRefT22_6x_0" localSheetId="54">'311'!$T$64</definedName>
    <definedName name="OSRRefT22_6x_0" localSheetId="57">'315'!$T$72</definedName>
    <definedName name="OSRRefT22_6x_0" localSheetId="60">'316'!$T$56:$T$57</definedName>
    <definedName name="OSRRefT22_6x_0" localSheetId="62">'317'!$T$64</definedName>
    <definedName name="OSRRefT22_6x_0" localSheetId="67">'321'!$T$52:$T$53</definedName>
    <definedName name="OSRRefT22_6x_0" localSheetId="68">'325'!$T$54</definedName>
    <definedName name="OSRRefT22_6x_0" localSheetId="58">'326'!$T$54</definedName>
    <definedName name="OSRRefT22_6x_0" localSheetId="51">'330'!$T$62</definedName>
    <definedName name="OSRRefT22_6x_0" localSheetId="56">'331'!$T$72</definedName>
    <definedName name="OSRRefT22_6x_0" localSheetId="59">'332'!$T$56:$T$57</definedName>
    <definedName name="OSRRefT22_6x_0" localSheetId="73">'405'!$T$57</definedName>
    <definedName name="OSRRefT22_6x_0" localSheetId="74">'411'!$T$50</definedName>
    <definedName name="OSRRefT22_6x_0" localSheetId="77">'415'!$T$57</definedName>
    <definedName name="OSRRefT22_6x_0" localSheetId="78">'418'!$T$54</definedName>
    <definedName name="OSRRefT22_6x_0" localSheetId="84">'430'!$T$51</definedName>
    <definedName name="OSRRefT22_6x_0" localSheetId="85">'433'!$T$57</definedName>
    <definedName name="OSRRefT22_6x_0" localSheetId="86">'444'!$T$57</definedName>
    <definedName name="OSRRefT22_6x_0" localSheetId="87">'450'!$T$56</definedName>
    <definedName name="OSRRefT22_6x_0" localSheetId="72">'491'!$T$57</definedName>
    <definedName name="OSRRefT22_6x_0" localSheetId="83">'492'!$T$57</definedName>
    <definedName name="OSRRefT22_6x_0" localSheetId="89">'501'!$T$50</definedName>
    <definedName name="OSRRefT22_6x_0" localSheetId="39">'Div 2'!$T$52</definedName>
    <definedName name="OSRRefT22_6x_0" localSheetId="47">'Div 3'!$T$87:$T$88</definedName>
    <definedName name="OSRRefT22_6x_0" localSheetId="70">'Div 4'!$T$60</definedName>
    <definedName name="OSRRefT22_6x_0" localSheetId="88">'Div 5'!$T$50</definedName>
    <definedName name="OSRRefT22_6x_0" localSheetId="61">'Div 6'!$T$64</definedName>
    <definedName name="OSRRefT22_6x_0" localSheetId="2">Summary!$T$96:$T$97</definedName>
    <definedName name="OSRRefT22_7x_0" localSheetId="41">'201'!$T$51</definedName>
    <definedName name="OSRRefT22_7x_0" localSheetId="42">'202'!$T$53</definedName>
    <definedName name="OSRRefT22_7x_0" localSheetId="43">'203'!$T$52</definedName>
    <definedName name="OSRRefT22_7x_0" localSheetId="44">'204'!$T$55:$T$56</definedName>
    <definedName name="OSRRefT22_7x_0" localSheetId="45">'205'!$T$54</definedName>
    <definedName name="OSRRefT22_7x_0" localSheetId="46">'206'!$T$53</definedName>
    <definedName name="OSRRefT22_7x_0" localSheetId="48">'300'!$T$87</definedName>
    <definedName name="OSRRefT22_7x_0" localSheetId="49">'300 &amp; 317'!$T$93</definedName>
    <definedName name="OSRRefT22_7x_0" localSheetId="50">'301'!$T$53</definedName>
    <definedName name="OSRRefT22_7x_0" localSheetId="52">'307'!$T$64</definedName>
    <definedName name="OSRRefT22_7x_0" localSheetId="53">'308'!$T$66</definedName>
    <definedName name="OSRRefT22_7x_0" localSheetId="64">'310'!$T$58</definedName>
    <definedName name="OSRRefT22_7x_0" localSheetId="71">'310 &amp; 491'!$T$60</definedName>
    <definedName name="OSRRefT22_7x_0" localSheetId="54">'311'!$T$66</definedName>
    <definedName name="OSRRefT22_7x_0" localSheetId="57">'315'!$T$74:$T$75</definedName>
    <definedName name="OSRRefT22_7x_0" localSheetId="60">'316'!$T$59</definedName>
    <definedName name="OSRRefT22_7x_0" localSheetId="62">'317'!$T$66</definedName>
    <definedName name="OSRRefT22_7x_0" localSheetId="67">'321'!$T$55</definedName>
    <definedName name="OSRRefT22_7x_0" localSheetId="68">'325'!$T$56</definedName>
    <definedName name="OSRRefT22_7x_0" localSheetId="58">'326'!$T$56</definedName>
    <definedName name="OSRRefT22_7x_0" localSheetId="51">'330'!$T$64</definedName>
    <definedName name="OSRRefT22_7x_0" localSheetId="56">'331'!$T$74:$T$75</definedName>
    <definedName name="OSRRefT22_7x_0" localSheetId="59">'332'!$T$59</definedName>
    <definedName name="OSRRefT22_7x_0" localSheetId="73">'405'!$T$59</definedName>
    <definedName name="OSRRefT22_7x_0" localSheetId="74">'411'!$T$52</definedName>
    <definedName name="OSRRefT22_7x_0" localSheetId="77">'415'!$T$59</definedName>
    <definedName name="OSRRefT22_7x_0" localSheetId="78">'418'!$T$56</definedName>
    <definedName name="OSRRefT22_7x_0" localSheetId="84">'430'!$T$53</definedName>
    <definedName name="OSRRefT22_7x_0" localSheetId="85">'433'!$T$59</definedName>
    <definedName name="OSRRefT22_7x_0" localSheetId="86">'444'!$T$59</definedName>
    <definedName name="OSRRefT22_7x_0" localSheetId="87">'450'!$T$58</definedName>
    <definedName name="OSRRefT22_7x_0" localSheetId="72">'491'!$T$59</definedName>
    <definedName name="OSRRefT22_7x_0" localSheetId="83">'492'!$T$59</definedName>
    <definedName name="OSRRefT22_7x_0" localSheetId="89">'501'!$T$52</definedName>
    <definedName name="OSRRefT22_7x_0" localSheetId="39">'Div 2'!$T$54</definedName>
    <definedName name="OSRRefT22_7x_0" localSheetId="47">'Div 3'!$T$90</definedName>
    <definedName name="OSRRefT22_7x_0" localSheetId="70">'Div 4'!$T$62</definedName>
    <definedName name="OSRRefT22_7x_0" localSheetId="88">'Div 5'!$T$52</definedName>
    <definedName name="OSRRefT22_7x_0" localSheetId="61">'Div 6'!$T$66</definedName>
    <definedName name="OSRRefT22_7x_0" localSheetId="2">Summary!$T$99</definedName>
    <definedName name="OSRRefT22_8x_0" localSheetId="41">'201'!$T$53:$T$54</definedName>
    <definedName name="OSRRefT22_8x_0" localSheetId="42">'202'!$T$55</definedName>
    <definedName name="OSRRefT22_8x_0" localSheetId="43">'203'!$T$54:$T$56</definedName>
    <definedName name="OSRRefT22_8x_0" localSheetId="48">'300'!$T$89</definedName>
    <definedName name="OSRRefT22_8x_0" localSheetId="49">'300 &amp; 317'!$T$95</definedName>
    <definedName name="OSRRefT22_8x_0" localSheetId="50">'301'!$T$55</definedName>
    <definedName name="OSRRefT22_8x_0" localSheetId="52">'307'!$T$66</definedName>
    <definedName name="OSRRefT22_8x_0" localSheetId="53">'308'!$T$68:$T$70</definedName>
    <definedName name="OSRRefT22_8x_0" localSheetId="64">'310'!$T$60</definedName>
    <definedName name="OSRRefT22_8x_0" localSheetId="71">'310 &amp; 491'!$T$62</definedName>
    <definedName name="OSRRefT22_8x_0" localSheetId="54">'311'!$T$68:$T$70</definedName>
    <definedName name="OSRRefT22_8x_0" localSheetId="57">'315'!$T$77</definedName>
    <definedName name="OSRRefT22_8x_0" localSheetId="60">'316'!$T$61:$T$64</definedName>
    <definedName name="OSRRefT22_8x_0" localSheetId="62">'317'!$T$68:$T$69</definedName>
    <definedName name="OSRRefT22_8x_0" localSheetId="67">'321'!$T$57:$T$58</definedName>
    <definedName name="OSRRefT22_8x_0" localSheetId="68">'325'!$T$58</definedName>
    <definedName name="OSRRefT22_8x_0" localSheetId="58">'326'!$T$58</definedName>
    <definedName name="OSRRefT22_8x_0" localSheetId="51">'330'!$T$66</definedName>
    <definedName name="OSRRefT22_8x_0" localSheetId="56">'331'!$T$77:$T$78</definedName>
    <definedName name="OSRRefT22_8x_0" localSheetId="59">'332'!$T$61:$T$64</definedName>
    <definedName name="OSRRefT22_8x_0" localSheetId="73">'405'!$T$61</definedName>
    <definedName name="OSRRefT22_8x_0" localSheetId="74">'411'!$T$54:$T$56</definedName>
    <definedName name="OSRRefT22_8x_0" localSheetId="77">'415'!$T$61</definedName>
    <definedName name="OSRRefT22_8x_0" localSheetId="78">'418'!$T$58:$T$59</definedName>
    <definedName name="OSRRefT22_8x_0" localSheetId="85">'433'!$T$61</definedName>
    <definedName name="OSRRefT22_8x_0" localSheetId="86">'444'!$T$61</definedName>
    <definedName name="OSRRefT22_8x_0" localSheetId="87">'450'!$T$60</definedName>
    <definedName name="OSRRefT22_8x_0" localSheetId="72">'491'!$T$61</definedName>
    <definedName name="OSRRefT22_8x_0" localSheetId="83">'492'!$T$61</definedName>
    <definedName name="OSRRefT22_8x_0" localSheetId="89">'501'!$T$54</definedName>
    <definedName name="OSRRefT22_8x_0" localSheetId="39">'Div 2'!$T$56</definedName>
    <definedName name="OSRRefT22_8x_0" localSheetId="47">'Div 3'!$T$92</definedName>
    <definedName name="OSRRefT22_8x_0" localSheetId="70">'Div 4'!$T$64</definedName>
    <definedName name="OSRRefT22_8x_0" localSheetId="88">'Div 5'!$T$54</definedName>
    <definedName name="OSRRefT22_8x_0" localSheetId="61">'Div 6'!$T$68:$T$69</definedName>
    <definedName name="OSRRefT22_8x_0" localSheetId="2">Summary!$T$101</definedName>
    <definedName name="OSRRefT22_9x_0" localSheetId="41">'201'!$T$56</definedName>
    <definedName name="OSRRefT22_9x_0" localSheetId="42">'202'!$T$57</definedName>
    <definedName name="OSRRefT22_9x_0" localSheetId="43">'203'!$T$58:$T$59</definedName>
    <definedName name="OSRRefT22_9x_0" localSheetId="48">'300'!$T$91</definedName>
    <definedName name="OSRRefT22_9x_0" localSheetId="49">'300 &amp; 317'!$T$97</definedName>
    <definedName name="OSRRefT22_9x_0" localSheetId="50">'301'!$T$57</definedName>
    <definedName name="OSRRefT22_9x_0" localSheetId="52">'307'!$T$68</definedName>
    <definedName name="OSRRefT22_9x_0" localSheetId="53">'308'!$T$72</definedName>
    <definedName name="OSRRefT22_9x_0" localSheetId="64">'310'!$T$62</definedName>
    <definedName name="OSRRefT22_9x_0" localSheetId="71">'310 &amp; 491'!$T$64</definedName>
    <definedName name="OSRRefT22_9x_0" localSheetId="54">'311'!$T$72</definedName>
    <definedName name="OSRRefT22_9x_0" localSheetId="57">'315'!$T$79</definedName>
    <definedName name="OSRRefT22_9x_0" localSheetId="60">'316'!$T$66</definedName>
    <definedName name="OSRRefT22_9x_0" localSheetId="62">'317'!$T$71</definedName>
    <definedName name="OSRRefT22_9x_0" localSheetId="67">'321'!$T$60:$T$62</definedName>
    <definedName name="OSRRefT22_9x_0" localSheetId="68">'325'!$T$60</definedName>
    <definedName name="OSRRefT22_9x_0" localSheetId="58">'326'!$T$60</definedName>
    <definedName name="OSRRefT22_9x_0" localSheetId="51">'330'!$T$68</definedName>
    <definedName name="OSRRefT22_9x_0" localSheetId="56">'331'!$T$80</definedName>
    <definedName name="OSRRefT22_9x_0" localSheetId="59">'332'!$T$66</definedName>
    <definedName name="OSRRefT22_9x_0" localSheetId="73">'405'!$T$63:$T$64</definedName>
    <definedName name="OSRRefT22_9x_0" localSheetId="74">'411'!$T$58:$T$60</definedName>
    <definedName name="OSRRefT22_9x_0" localSheetId="77">'415'!$T$63</definedName>
    <definedName name="OSRRefT22_9x_0" localSheetId="78">'418'!$T$61:$T$64</definedName>
    <definedName name="OSRRefT22_9x_0" localSheetId="85">'433'!$T$63</definedName>
    <definedName name="OSRRefT22_9x_0" localSheetId="86">'444'!$T$63</definedName>
    <definedName name="OSRRefT22_9x_0" localSheetId="87">'450'!$T$62</definedName>
    <definedName name="OSRRefT22_9x_0" localSheetId="72">'491'!$T$63</definedName>
    <definedName name="OSRRefT22_9x_0" localSheetId="83">'492'!$T$63</definedName>
    <definedName name="OSRRefT22_9x_0" localSheetId="89">'501'!$T$56:$T$58</definedName>
    <definedName name="OSRRefT22_9x_0" localSheetId="39">'Div 2'!$T$58</definedName>
    <definedName name="OSRRefT22_9x_0" localSheetId="47">'Div 3'!$T$94</definedName>
    <definedName name="OSRRefT22_9x_0" localSheetId="70">'Div 4'!$T$66</definedName>
    <definedName name="OSRRefT22_9x_0" localSheetId="88">'Div 5'!$T$56:$T$58</definedName>
    <definedName name="OSRRefT22_9x_0" localSheetId="61">'Div 6'!$T$71</definedName>
    <definedName name="OSRRefT22_9x_0" localSheetId="2">Summary!$T$103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'201'!$T$20:$T$28,'201'!$T$30:$T$39,'201'!$T$41,'201'!$T$43,'201'!$T$45,'201'!$T$47,'201'!$T$49,'201'!$T$51,'201'!$T$53:$T$54,'201'!$T$56,'201'!$T$58:$T$59,'201'!$T$61</definedName>
    <definedName name="OSRRefT22x_0" localSheetId="42">'202'!$T$20:$T$28,'202'!$T$30:$T$39,'202'!$T$41,'202'!$T$43,'202'!$T$45,'202'!$T$47,'202'!$T$49:$T$51,'202'!$T$53,'202'!$T$55,'202'!$T$57,'202'!$T$59,'202'!$T$61</definedName>
    <definedName name="OSRRefT22x_0" localSheetId="43">'203'!$T$20:$T$29,'203'!$T$31:$T$40,'203'!$T$42,'203'!$T$44,'203'!$T$46,'203'!$T$48,'203'!$T$50,'203'!$T$52,'203'!$T$54:$T$56,'203'!$T$58:$T$59,'203'!$T$61,'203'!$T$63:$T$66,'203'!$T$68,'203'!$T$70</definedName>
    <definedName name="OSRRefT22x_0" localSheetId="44">'204'!$T$20:$T$28,'204'!$T$30:$T$39,'204'!$T$41,'204'!$T$43:$T$44,'204'!$T$46,'204'!$T$48:$T$51,'204'!$T$53,'204'!$T$55:$T$56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'206'!$T$20:$T$28,'206'!$T$30:$T$39,'206'!$T$41,'206'!$T$43,'206'!$T$45:$T$46,'206'!$T$48,'206'!$T$50:$T$51,'206'!$T$53</definedName>
    <definedName name="OSRRefT22x_0" localSheetId="48">'300'!$T$53:$T$62,'300'!$T$64:$T$73,'300'!$T$75,'300'!$T$77,'300'!$T$79,'300'!$T$81:$T$82,'300'!$T$84:$T$85,'300'!$T$87,'300'!$T$89,'300'!$T$91,'300'!$T$93:$T$94,'300'!$T$96:$T$97,'300'!$T$99,'300'!$T$101,'300'!$T$103,'300'!$T$105,'300'!$T$107:$T$110,'300'!$T$112:$T$115,'300'!$T$117:$T$119,'300'!$T$121:$T$122,'300'!$T$124:$T$129,'300'!$T$131:$T$132,'300'!$T$134:$T$136,'300'!$T$138</definedName>
    <definedName name="OSRRefT22x_0" localSheetId="49">'300 &amp; 317'!$T$59:$T$68,'300 &amp; 317'!$T$70:$T$79,'300 &amp; 317'!$T$81,'300 &amp; 317'!$T$83,'300 &amp; 317'!$T$85,'300 &amp; 317'!$T$87:$T$88,'300 &amp; 317'!$T$90:$T$91,'300 &amp; 317'!$T$93,'300 &amp; 317'!$T$95,'300 &amp; 317'!$T$97,'300 &amp; 317'!$T$99:$T$100,'300 &amp; 317'!$T$102:$T$103,'300 &amp; 317'!$T$105,'300 &amp; 317'!$T$107,'300 &amp; 317'!$T$109,'300 &amp; 317'!$T$111,'300 &amp; 317'!$T$113:$T$116,'300 &amp; 317'!$T$118:$T$121,'300 &amp; 317'!$T$123:$T$125,'300 &amp; 317'!$T$127:$T$128,'300 &amp; 317'!$T$130:$T$135,'300 &amp; 317'!$T$137:$T$138,'300 &amp; 317'!$T$140:$T$142,'300 &amp; 317'!$T$144</definedName>
    <definedName name="OSRRefT22x_0" localSheetId="50">'301'!$T$20:$T$29,'301'!$T$31:$T$40,'301'!$T$42,'301'!$T$44,'301'!$T$46,'301'!$T$48:$T$49,'301'!$T$51,'301'!$T$53,'301'!$T$55,'301'!$T$57,'301'!$T$59,'301'!$T$61,'301'!$T$63,'301'!$T$65,'301'!$T$67:$T$70,'301'!$T$72:$T$73,'301'!$T$75,'301'!$T$77:$T$81,'301'!$T$83,'301'!$T$85,'301'!$T$87</definedName>
    <definedName name="OSRRefT22x_0" localSheetId="52">'307'!$T$33:$T$40,'307'!$T$42:$T$51,'307'!$T$53,'307'!$T$55,'307'!$T$57,'307'!$T$59:$T$60,'307'!$T$62,'307'!$T$64,'307'!$T$66,'307'!$T$68,'307'!$T$70,'307'!$T$72:$T$74,'307'!$T$76</definedName>
    <definedName name="OSRRefT22x_0" localSheetId="53">'308'!$T$34:$T$43,'308'!$T$45:$T$54,'308'!$T$56,'308'!$T$58,'308'!$T$60,'308'!$T$62,'308'!$T$64,'308'!$T$66,'308'!$T$68:$T$70,'308'!$T$72,'308'!$T$74:$T$75,'308'!$T$77:$T$78</definedName>
    <definedName name="OSRRefT22x_0" localSheetId="65">'309'!$T$20,'309'!$T$22:$T$23,'309'!$T$25</definedName>
    <definedName name="OSRRefT22x_0" localSheetId="64">'310'!$T$26:$T$34,'310'!$T$36:$T$45,'310'!$T$47,'310'!$T$49,'310'!$T$51,'310'!$T$53:$T$54,'310'!$T$56,'310'!$T$58,'310'!$T$60,'310'!$T$62,'310'!$T$64:$T$65,'310'!$T$67,'310'!$T$69:$T$71,'310'!$T$73:$T$77,'310'!$T$79:$T$80,'310'!$T$82,'310'!$T$84</definedName>
    <definedName name="OSRRefT22x_0" localSheetId="71">'310 &amp; 491'!$T$28:$T$36,'310 &amp; 491'!$T$38:$T$47,'310 &amp; 491'!$T$49,'310 &amp; 491'!$T$51,'310 &amp; 491'!$T$53,'310 &amp; 491'!$T$55:$T$56,'310 &amp; 491'!$T$58,'310 &amp; 491'!$T$60,'310 &amp; 491'!$T$62,'310 &amp; 491'!$T$64,'310 &amp; 491'!$T$66,'310 &amp; 491'!$T$68,'310 &amp; 491'!$T$70:$T$72,'310 &amp; 491'!$T$74,'310 &amp; 491'!$T$76:$T$80,'310 &amp; 491'!$T$82,'310 &amp; 491'!$T$84:$T$93,'310 &amp; 491'!$T$95:$T$96,'310 &amp; 491'!$T$98,'310 &amp; 491'!$T$100</definedName>
    <definedName name="OSRRefT22x_0" localSheetId="54">'311'!$T$34:$T$43,'311'!$T$45:$T$54,'311'!$T$56,'311'!$T$58,'311'!$T$60,'311'!$T$62,'311'!$T$64,'311'!$T$66,'311'!$T$68:$T$70,'311'!$T$72,'311'!$T$74:$T$75,'311'!$T$77:$T$78</definedName>
    <definedName name="OSRRefT22x_0" localSheetId="66">'313'!$T$20,'313'!$T$22</definedName>
    <definedName name="OSRRefT22x_0" localSheetId="57">'315'!$T$43:$T$51,'315'!$T$53:$T$62,'315'!$T$64,'315'!$T$66,'315'!$T$68,'315'!$T$70,'315'!$T$72,'315'!$T$74:$T$75,'315'!$T$77,'315'!$T$79,'315'!$T$81,'315'!$T$83:$T$84,'315'!$T$86:$T$88,'315'!$T$90:$T$91,'315'!$T$93:$T$95,'315'!$T$97,'315'!$T$99</definedName>
    <definedName name="OSRRefT22x_0" localSheetId="60">'316'!$T$26:$T$34,'316'!$T$36:$T$45,'316'!$T$47,'316'!$T$49,'316'!$T$51,'316'!$T$53:$T$54,'316'!$T$56:$T$57,'316'!$T$59,'316'!$T$61:$T$64,'316'!$T$66</definedName>
    <definedName name="OSRRefT22x_0" localSheetId="62">'317'!$T$34:$T$43,'317'!$T$45:$T$54,'317'!$T$56,'317'!$T$58,'317'!$T$60,'317'!$T$62,'317'!$T$64,'317'!$T$66,'317'!$T$68:$T$69,'317'!$T$71</definedName>
    <definedName name="OSRRefT22x_0" localSheetId="67">'321'!$T$23:$T$31,'321'!$T$33:$T$42,'321'!$T$44,'321'!$T$46,'321'!$T$48,'321'!$T$50,'321'!$T$52:$T$53,'321'!$T$55,'321'!$T$57:$T$58,'321'!$T$60:$T$62,'321'!$T$64,'321'!$T$66</definedName>
    <definedName name="OSRRefT22x_0" localSheetId="68">'325'!$T$25:$T$32,'325'!$T$34:$T$43,'325'!$T$45,'325'!$T$47,'325'!$T$49,'325'!$T$51:$T$52,'325'!$T$54,'325'!$T$56,'325'!$T$58,'325'!$T$60,'325'!$T$62:$T$63,'325'!$T$65:$T$67,'325'!$T$69:$T$73,'325'!$T$75:$T$76,'325'!$T$78</definedName>
    <definedName name="OSRRefT22x_0" localSheetId="58">'326'!$T$25:$T$33,'326'!$T$35:$T$44,'326'!$T$46,'326'!$T$48,'326'!$T$50,'326'!$T$52,'326'!$T$54,'326'!$T$56,'326'!$T$58,'326'!$T$60,'326'!$T$62,'326'!$T$64:$T$65,'326'!$T$67:$T$68,'326'!$T$70:$T$71,'326'!$T$73:$T$75,'326'!$T$77,'326'!$T$79:$T$80,'326'!$T$82</definedName>
    <definedName name="OSRRefT22x_0" localSheetId="69">'327'!$T$24</definedName>
    <definedName name="OSRRefT22x_0" localSheetId="51">'330'!$T$33:$T$40,'330'!$T$42:$T$51,'330'!$T$53,'330'!$T$55,'330'!$T$57,'330'!$T$59:$T$60,'330'!$T$62,'330'!$T$64,'330'!$T$66,'330'!$T$68,'330'!$T$70,'330'!$T$72:$T$74,'330'!$T$76</definedName>
    <definedName name="OSRRefT22x_0" localSheetId="56">'331'!$T$43:$T$51,'331'!$T$53:$T$62,'331'!$T$64,'331'!$T$66,'331'!$T$68,'331'!$T$70,'331'!$T$72,'331'!$T$74:$T$75,'331'!$T$77:$T$78,'331'!$T$80,'331'!$T$82,'331'!$T$84,'331'!$T$86,'331'!$T$88:$T$89,'331'!$T$91:$T$93,'331'!$T$95:$T$96,'331'!$T$98:$T$99,'331'!$T$101:$T$104,'331'!$T$106,'331'!$T$108:$T$109,'331'!$T$111</definedName>
    <definedName name="OSRRefT22x_0" localSheetId="59">'332'!$T$26:$T$34,'332'!$T$36:$T$45,'332'!$T$47,'332'!$T$49,'332'!$T$51,'332'!$T$53:$T$54,'332'!$T$56:$T$57,'332'!$T$59,'332'!$T$61:$T$64,'332'!$T$66</definedName>
    <definedName name="OSRRefT22x_0" localSheetId="73">'405'!$T$27:$T$35,'405'!$T$37:$T$46,'405'!$T$48,'405'!$T$50,'405'!$T$52,'405'!$T$54:$T$55,'405'!$T$57,'405'!$T$59,'405'!$T$61,'405'!$T$63:$T$64,'405'!$T$66:$T$69,'405'!$T$71,'405'!$T$73:$T$80,'405'!$T$82,'405'!$T$84</definedName>
    <definedName name="OSRRefT22x_0" localSheetId="74">'411'!$T$20:$T$28,'411'!$T$30:$T$39,'411'!$T$41,'411'!$T$43:$T$44,'411'!$T$46,'411'!$T$48,'411'!$T$50,'411'!$T$52,'411'!$T$54:$T$56,'411'!$T$58:$T$60,'411'!$T$62,'411'!$T$64,'411'!$T$66,'411'!$T$68</definedName>
    <definedName name="OSRRefT22x_0" localSheetId="75">'412'!$T$20,'412'!$T$22,'412'!$T$24</definedName>
    <definedName name="OSRRefT22x_0" localSheetId="76">'413'!$T$20,'413'!$T$22</definedName>
    <definedName name="OSRRefT22x_0" localSheetId="77">'415'!$T$27:$T$35,'415'!$T$37:$T$46,'415'!$T$48,'415'!$T$50,'415'!$T$52,'415'!$T$54:$T$55,'415'!$T$57,'415'!$T$59,'415'!$T$61,'415'!$T$63,'415'!$T$65:$T$66,'415'!$T$68:$T$71,'415'!$T$73,'415'!$T$75:$T$80,'415'!$T$82:$T$83,'415'!$T$85,'415'!$T$87</definedName>
    <definedName name="OSRRefT22x_0" localSheetId="78">'418'!$T$24:$T$32,'418'!$T$34:$T$43,'418'!$T$45,'418'!$T$47,'418'!$T$49:$T$50,'418'!$T$52,'418'!$T$54,'418'!$T$56,'418'!$T$58:$T$59,'418'!$T$61:$T$64,'418'!$T$66,'418'!$T$68:$T$75,'418'!$T$77:$T$78,'418'!$T$80,'418'!$T$82</definedName>
    <definedName name="OSRRefT22x_0" localSheetId="79">'423'!$T$20:$T$27,'423'!$T$29:$T$38,'423'!$T$40,'423'!$T$42,'423'!$T$44,'423'!$T$46</definedName>
    <definedName name="OSRRefT22x_0" localSheetId="80">'424'!$T$20,'424'!$T$22</definedName>
    <definedName name="OSRRefT22x_0" localSheetId="81">'425'!$T$21,'425'!$T$23</definedName>
    <definedName name="OSRRefT22x_0" localSheetId="84">'430'!$T$20:$T$28,'430'!$T$30:$T$39,'430'!$T$41,'430'!$T$43,'430'!$T$45:$T$46,'430'!$T$48:$T$49,'430'!$T$51,'430'!$T$53</definedName>
    <definedName name="OSRRefT22x_0" localSheetId="85">'433'!$T$27:$T$36,'433'!$T$38:$T$47,'433'!$T$49,'433'!$T$51,'433'!$T$53,'433'!$T$55,'433'!$T$57,'433'!$T$59,'433'!$T$61,'433'!$T$63,'433'!$T$65:$T$67,'433'!$T$69:$T$72,'433'!$T$74:$T$79,'433'!$T$81</definedName>
    <definedName name="OSRRefT22x_0" localSheetId="86">'444'!$T$27:$T$36,'444'!$T$38:$T$47,'444'!$T$49,'444'!$T$51,'444'!$T$53,'444'!$T$55,'444'!$T$57,'444'!$T$59,'444'!$T$61,'444'!$T$63,'444'!$T$65,'444'!$T$67:$T$68,'444'!$T$70:$T$73,'444'!$T$75:$T$80,'444'!$T$82,'444'!$T$84</definedName>
    <definedName name="OSRRefT22x_0" localSheetId="87">'450'!$T$26:$T$35,'450'!$T$37:$T$46,'450'!$T$48,'450'!$T$50,'450'!$T$52,'450'!$T$54,'450'!$T$56,'450'!$T$58,'450'!$T$60,'450'!$T$62,'450'!$T$64,'450'!$T$66:$T$67,'450'!$T$69:$T$72,'450'!$T$74:$T$79,'450'!$T$81,'450'!$T$83</definedName>
    <definedName name="OSRRefT22x_0" localSheetId="72">'491'!$T$27:$T$35,'491'!$T$37:$T$46,'491'!$T$48,'491'!$T$50,'491'!$T$52,'491'!$T$54:$T$55,'491'!$T$57,'491'!$T$59,'491'!$T$61,'491'!$T$63,'491'!$T$65,'491'!$T$67,'491'!$T$69:$T$71,'491'!$T$73:$T$77,'491'!$T$79,'491'!$T$81:$T$89,'491'!$T$91:$T$92,'491'!$T$94,'491'!$T$96</definedName>
    <definedName name="OSRRefT22x_0" localSheetId="83">'492'!$T$27:$T$36,'492'!$T$38:$T$47,'492'!$T$49,'492'!$T$51,'492'!$T$53,'492'!$T$55,'492'!$T$57,'492'!$T$59,'492'!$T$61,'492'!$T$63,'492'!$T$65,'492'!$T$67,'492'!$T$69:$T$71,'492'!$T$73:$T$76,'492'!$T$78:$T$84,'492'!$T$86:$T$87,'492'!$T$89,'492'!$T$91</definedName>
    <definedName name="OSRRefT22x_0" localSheetId="89">'501'!$T$21:$T$29,'501'!$T$31:$T$40,'501'!$T$42,'501'!$T$44,'501'!$T$46,'501'!$T$48,'501'!$T$50,'501'!$T$52,'501'!$T$54,'501'!$T$56:$T$58,'501'!$T$60,'501'!$T$62:$T$63,'501'!$T$65</definedName>
    <definedName name="OSRRefT22x_0" localSheetId="39">'Div 2'!$T$20:$T$30,'Div 2'!$T$32:$T$41,'Div 2'!$T$43,'Div 2'!$T$45,'Div 2'!$T$47,'Div 2'!$T$49:$T$50,'Div 2'!$T$52,'Div 2'!$T$54,'Div 2'!$T$56,'Div 2'!$T$58,'Div 2'!$T$60,'Div 2'!$T$62,'Div 2'!$T$64:$T$67,'Div 2'!$T$69:$T$72,'Div 2'!$T$74:$T$75,'Div 2'!$T$77,'Div 2'!$T$79:$T$84,'Div 2'!$T$86:$T$87,'Div 2'!$T$89,'Div 2'!$T$91</definedName>
    <definedName name="OSRRefT22x_0" localSheetId="47">'Div 3'!$T$56:$T$65,'Div 3'!$T$67:$T$76,'Div 3'!$T$78,'Div 3'!$T$80,'Div 3'!$T$82,'Div 3'!$T$84:$T$85,'Div 3'!$T$87:$T$88,'Div 3'!$T$90,'Div 3'!$T$92,'Div 3'!$T$94,'Div 3'!$T$96:$T$97,'Div 3'!$T$99:$T$100,'Div 3'!$T$102,'Div 3'!$T$104,'Div 3'!$T$106,'Div 3'!$T$108,'Div 3'!$T$110,'Div 3'!$T$112:$T$115,'Div 3'!$T$117:$T$120,'Div 3'!$T$122:$T$125,'Div 3'!$T$127:$T$128,'Div 3'!$T$130:$T$136,'Div 3'!$T$138:$T$139,'Div 3'!$T$141,'Div 3'!$T$143:$T$145,'Div 3'!$T$147</definedName>
    <definedName name="OSRRefT22x_0" localSheetId="70">'Div 4'!$T$29:$T$38,'Div 4'!$T$40:$T$49,'Div 4'!$T$51,'Div 4'!$T$53,'Div 4'!$T$55,'Div 4'!$T$57:$T$58,'Div 4'!$T$60,'Div 4'!$T$62,'Div 4'!$T$64,'Div 4'!$T$66,'Div 4'!$T$68,'Div 4'!$T$70,'Div 4'!$T$72,'Div 4'!$T$74,'Div 4'!$T$76:$T$78,'Div 4'!$T$80:$T$84,'Div 4'!$T$86,'Div 4'!$T$88:$T$97,'Div 4'!$T$99:$T$100,'Div 4'!$T$102,'Div 4'!$T$104,'Div 4'!$T$106</definedName>
    <definedName name="OSRRefT22x_0" localSheetId="88">'Div 5'!$T$21:$T$29,'Div 5'!$T$31:$T$40,'Div 5'!$T$42,'Div 5'!$T$44,'Div 5'!$T$46,'Div 5'!$T$48,'Div 5'!$T$50,'Div 5'!$T$52,'Div 5'!$T$54,'Div 5'!$T$56:$T$58,'Div 5'!$T$60,'Div 5'!$T$62:$T$63,'Div 5'!$T$65</definedName>
    <definedName name="OSRRefT22x_0" localSheetId="61">'Div 6'!$T$34:$T$43,'Div 6'!$T$45:$T$54,'Div 6'!$T$56,'Div 6'!$T$58,'Div 6'!$T$60,'Div 6'!$T$62,'Div 6'!$T$64,'Div 6'!$T$66,'Div 6'!$T$68:$T$69,'Div 6'!$T$71</definedName>
    <definedName name="OSRRefT22x_0" localSheetId="2">Summary!$T$65:$T$74,Summary!$T$76:$T$85,Summary!$T$87,Summary!$T$89,Summary!$T$91,Summary!$T$93:$T$94,Summary!$T$96:$T$97,Summary!$T$99,Summary!$T$101,Summary!$T$103,Summary!$T$105:$T$106,Summary!$T$108:$T$109,Summary!$T$111,Summary!$T$113,Summary!$T$115,Summary!$T$117,Summary!$T$119,Summary!$T$121,Summary!$T$123:$T$126,Summary!$T$128:$T$131,Summary!$T$133:$T$137,Summary!$T$139:$T$140,Summary!$T$142:$T$151,Summary!$T$153:$T$154,Summary!$T$156,Summary!$T$158:$T$160,Summary!$T$162</definedName>
    <definedName name="OSRRefT25x_0" localSheetId="48">'300'!$T$141:$T$145</definedName>
    <definedName name="OSRRefT25x_0" localSheetId="49">'300 &amp; 317'!$T$147:$T$153</definedName>
    <definedName name="OSRRefT25x_0" localSheetId="50">'301'!$T$90:$T$91</definedName>
    <definedName name="OSRRefT25x_0" localSheetId="53">'308'!$T$81:$T$84</definedName>
    <definedName name="OSRRefT25x_0" localSheetId="71">'310 &amp; 491'!$T$103:$T$105</definedName>
    <definedName name="OSRRefT25x_0" localSheetId="54">'311'!$T$81:$T$84</definedName>
    <definedName name="OSRRefT25x_0" localSheetId="57">'315'!$T$102:$T$104</definedName>
    <definedName name="OSRRefT25x_0" localSheetId="60">'316'!$T$69</definedName>
    <definedName name="OSRRefT25x_0" localSheetId="62">'317'!$T$74:$T$76</definedName>
    <definedName name="OSRRefT25x_0" localSheetId="56">'331'!$T$114:$T$116</definedName>
    <definedName name="OSRRefT25x_0" localSheetId="59">'332'!$T$69</definedName>
    <definedName name="OSRRefT25x_0" localSheetId="74">'411'!$T$71</definedName>
    <definedName name="OSRRefT25x_0" localSheetId="77">'415'!$T$90</definedName>
    <definedName name="OSRRefT25x_0" localSheetId="82">'455'!$T$21:$T$22</definedName>
    <definedName name="OSRRefT25x_0" localSheetId="72">'491'!$T$99:$T$101</definedName>
    <definedName name="OSRRefT25x_0" localSheetId="89">'501'!$T$68</definedName>
    <definedName name="OSRRefT25x_0" localSheetId="47">'Div 3'!$T$150:$T$154</definedName>
    <definedName name="OSRRefT25x_0" localSheetId="70">'Div 4'!$T$109:$T$111</definedName>
    <definedName name="OSRRefT25x_0" localSheetId="88">'Div 5'!$T$68</definedName>
    <definedName name="OSRRefT25x_0" localSheetId="61">'Div 6'!$T$74:$T$76</definedName>
    <definedName name="OSRRefT25x_0" localSheetId="2">Summary!$T$165:$T$172</definedName>
    <definedName name="_xlnm.Print_Area" localSheetId="38">'100'!$A$1:$Z$34</definedName>
    <definedName name="_xlnm.Print_Area" localSheetId="40">'200'!$A$1:$Z$41</definedName>
    <definedName name="_xlnm.Print_Area" localSheetId="41">'201'!$A$1:$Z$75</definedName>
    <definedName name="_xlnm.Print_Area" localSheetId="42">'202'!$A$1:$Z$75</definedName>
    <definedName name="_xlnm.Print_Area" localSheetId="43">'203'!$A$1:$Z$84</definedName>
    <definedName name="_xlnm.Print_Area" localSheetId="44">'204'!$A$1:$Z$70</definedName>
    <definedName name="_xlnm.Print_Area" localSheetId="45">'205'!$A$1:$Z$68</definedName>
    <definedName name="_xlnm.Print_Area" localSheetId="46">'206'!$A$1:$Z$67</definedName>
    <definedName name="_xlnm.Print_Area" localSheetId="48">'300'!$A$1:$Z$157</definedName>
    <definedName name="_xlnm.Print_Area" localSheetId="49">'300 &amp; 317'!$A$1:$Z$165</definedName>
    <definedName name="_xlnm.Print_Area" localSheetId="50">'301'!$A$1:$Z$103</definedName>
    <definedName name="_xlnm.Print_Area" localSheetId="52">'307'!$A$1:$Z$90</definedName>
    <definedName name="_xlnm.Print_Area" localSheetId="53">'308'!$A$1:$Z$96</definedName>
    <definedName name="_xlnm.Print_Area" localSheetId="65">'309'!$A$1:$Z$39</definedName>
    <definedName name="_xlnm.Print_Area" localSheetId="64">'310'!$A$1:$Z$98</definedName>
    <definedName name="_xlnm.Print_Area" localSheetId="71">'310 &amp; 491'!$A$1:$Z$117</definedName>
    <definedName name="_xlnm.Print_Area" localSheetId="54">'311'!$A$1:$Z$96</definedName>
    <definedName name="_xlnm.Print_Area" localSheetId="66">'313'!$A$1:$Z$36</definedName>
    <definedName name="_xlnm.Print_Area" localSheetId="57">'315'!$A$1:$Z$116</definedName>
    <definedName name="_xlnm.Print_Area" localSheetId="60">'316'!$A$1:$Z$81</definedName>
    <definedName name="_xlnm.Print_Area" localSheetId="62">'317'!$A$1:$Z$88</definedName>
    <definedName name="_xlnm.Print_Area" localSheetId="63">'320'!$A$1:$Z$39</definedName>
    <definedName name="_xlnm.Print_Area" localSheetId="67">'321'!$A$1:$Z$80</definedName>
    <definedName name="_xlnm.Print_Area" localSheetId="55">'324'!$A$1:$Z$35</definedName>
    <definedName name="_xlnm.Print_Area" localSheetId="68">'325'!$A$1:$Z$92</definedName>
    <definedName name="_xlnm.Print_Area" localSheetId="58">'326'!$A$1:$Z$96</definedName>
    <definedName name="_xlnm.Print_Area" localSheetId="69">'327'!$A$1:$Z$38</definedName>
    <definedName name="_xlnm.Print_Area" localSheetId="51">'330'!$A$1:$Z$90</definedName>
    <definedName name="_xlnm.Print_Area" localSheetId="56">'331'!$A$1:$Z$128</definedName>
    <definedName name="_xlnm.Print_Area" localSheetId="59">'332'!$A$1:$Z$81</definedName>
    <definedName name="_xlnm.Print_Area" localSheetId="73">'405'!$A$1:$Z$98</definedName>
    <definedName name="_xlnm.Print_Area" localSheetId="74">'411'!$A$1:$Z$83</definedName>
    <definedName name="_xlnm.Print_Area" localSheetId="75">'412'!$A$1:$Z$38</definedName>
    <definedName name="_xlnm.Print_Area" localSheetId="76">'413'!$A$1:$Z$36</definedName>
    <definedName name="_xlnm.Print_Area" localSheetId="77">'415'!$A$1:$Z$102</definedName>
    <definedName name="_xlnm.Print_Area" localSheetId="78">'418'!$A$1:$Z$96</definedName>
    <definedName name="_xlnm.Print_Area" localSheetId="79">'423'!$A$1:$Z$60</definedName>
    <definedName name="_xlnm.Print_Area" localSheetId="80">'424'!$A$1:$Z$36</definedName>
    <definedName name="_xlnm.Print_Area" localSheetId="81">'425'!$A$1:$Z$37</definedName>
    <definedName name="_xlnm.Print_Area" localSheetId="84">'430'!$A$1:$Z$67</definedName>
    <definedName name="_xlnm.Print_Area" localSheetId="85">'433'!$A$1:$Z$95</definedName>
    <definedName name="_xlnm.Print_Area" localSheetId="86">'444'!$A$1:$Z$98</definedName>
    <definedName name="_xlnm.Print_Area" localSheetId="87">'450'!$A$1:$Z$97</definedName>
    <definedName name="_xlnm.Print_Area" localSheetId="82">'455'!$A$1:$Z$34</definedName>
    <definedName name="_xlnm.Print_Area" localSheetId="72">'491'!$A$1:$Z$113</definedName>
    <definedName name="_xlnm.Print_Area" localSheetId="83">'492'!$A$1:$Z$105</definedName>
    <definedName name="_xlnm.Print_Area" localSheetId="89">'501'!$A$1:$Z$80</definedName>
    <definedName name="_xlnm.Print_Area" localSheetId="90">Dept!$A$1:$Z$39</definedName>
    <definedName name="_xlnm.Print_Area" localSheetId="5">'Div 1'!$A$1:$Z$34</definedName>
    <definedName name="_xlnm.Print_Area" localSheetId="39">'Div 2'!$A$1:$Z$105</definedName>
    <definedName name="_xlnm.Print_Area" localSheetId="47">'Div 3'!$A$1:$Z$166</definedName>
    <definedName name="_xlnm.Print_Area" localSheetId="70">'Div 4'!$A$1:$Z$123</definedName>
    <definedName name="_xlnm.Print_Area" localSheetId="88">'Div 5'!$A$1:$Z$80</definedName>
    <definedName name="_xlnm.Print_Area" localSheetId="61">'Div 6'!$A$1:$Z$88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1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2">'OSR_Summary (...56e5d78f_5JEYZH'!$A$1:$Z$39</definedName>
    <definedName name="_xlnm.Print_Area" localSheetId="3">OSR_Summary_18VAVWG!$A$1:$Z$39</definedName>
    <definedName name="_xlnm.Print_Area" localSheetId="2">Summary!$A$1:$Z$186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5">'309'!$A:$C,'309'!$1:$10</definedName>
    <definedName name="_xlnm.Print_Titles" localSheetId="64">'310'!$A:$C,'310'!$1:$10</definedName>
    <definedName name="_xlnm.Print_Titles" localSheetId="71">'310 &amp; 491'!$A:$C,'310 &amp; 491'!$1:$10</definedName>
    <definedName name="_xlnm.Print_Titles" localSheetId="54">'311'!$A:$C,'311'!$1:$10</definedName>
    <definedName name="_xlnm.Print_Titles" localSheetId="66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3">'320'!$A:$C,'320'!$1:$10</definedName>
    <definedName name="_xlnm.Print_Titles" localSheetId="67">'321'!$A:$C,'321'!$1:$10</definedName>
    <definedName name="_xlnm.Print_Titles" localSheetId="55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3">'405'!$A:$C,'405'!$1:$10</definedName>
    <definedName name="_xlnm.Print_Titles" localSheetId="74">'411'!$A:$C,'411'!$1:$10</definedName>
    <definedName name="_xlnm.Print_Titles" localSheetId="75">'412'!$A:$C,'412'!$1:$10</definedName>
    <definedName name="_xlnm.Print_Titles" localSheetId="76">'413'!$A:$C,'413'!$1:$10</definedName>
    <definedName name="_xlnm.Print_Titles" localSheetId="77">'415'!$A:$C,'415'!$1:$10</definedName>
    <definedName name="_xlnm.Print_Titles" localSheetId="78">'418'!$A:$C,'418'!$1:$10</definedName>
    <definedName name="_xlnm.Print_Titles" localSheetId="79">'423'!$A:$C,'423'!$1:$10</definedName>
    <definedName name="_xlnm.Print_Titles" localSheetId="80">'424'!$A:$C,'424'!$1:$10</definedName>
    <definedName name="_xlnm.Print_Titles" localSheetId="81">'425'!$A:$C,'425'!$1:$10</definedName>
    <definedName name="_xlnm.Print_Titles" localSheetId="84">'430'!$A:$C,'430'!$1:$10</definedName>
    <definedName name="_xlnm.Print_Titles" localSheetId="85">'433'!$A:$C,'433'!$1:$10</definedName>
    <definedName name="_xlnm.Print_Titles" localSheetId="86">'444'!$A:$C,'444'!$1:$10</definedName>
    <definedName name="_xlnm.Print_Titles" localSheetId="87">'450'!$A:$C,'450'!$1:$10</definedName>
    <definedName name="_xlnm.Print_Titles" localSheetId="82">'455'!$A:$C,'455'!$1:$10</definedName>
    <definedName name="_xlnm.Print_Titles" localSheetId="72">'491'!$A:$C,'491'!$1:$10</definedName>
    <definedName name="_xlnm.Print_Titles" localSheetId="83">'492'!$A:$C,'492'!$1:$10</definedName>
    <definedName name="_xlnm.Print_Titles" localSheetId="89">'501'!$A:$C,'501'!$1:$10</definedName>
    <definedName name="_xlnm.Print_Titles" localSheetId="90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88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1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2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4" l="1"/>
  <c r="B38" i="94"/>
  <c r="T34" i="94"/>
  <c r="Z34" i="94" s="1"/>
  <c r="P34" i="94"/>
  <c r="H34" i="94"/>
  <c r="N34" i="94" s="1"/>
  <c r="D34" i="94"/>
  <c r="T33" i="94"/>
  <c r="Z33" i="94" s="1"/>
  <c r="P33" i="94"/>
  <c r="H33" i="94"/>
  <c r="N33" i="94" s="1"/>
  <c r="D33" i="94"/>
  <c r="T29" i="94"/>
  <c r="Z29" i="94" s="1"/>
  <c r="P29" i="94"/>
  <c r="H29" i="94"/>
  <c r="N29" i="94" s="1"/>
  <c r="D29" i="94"/>
  <c r="T25" i="94"/>
  <c r="Z25" i="94" s="1"/>
  <c r="P25" i="94"/>
  <c r="H25" i="94"/>
  <c r="N25" i="94" s="1"/>
  <c r="D25" i="94"/>
  <c r="B25" i="94"/>
  <c r="T24" i="94"/>
  <c r="P24" i="94"/>
  <c r="H24" i="94"/>
  <c r="D24" i="94"/>
  <c r="T22" i="94"/>
  <c r="Z22" i="94" s="1"/>
  <c r="P22" i="94"/>
  <c r="H22" i="94"/>
  <c r="N22" i="94" s="1"/>
  <c r="D22" i="94"/>
  <c r="B22" i="94"/>
  <c r="T21" i="94"/>
  <c r="Z21" i="94" s="1"/>
  <c r="P21" i="94"/>
  <c r="H21" i="94"/>
  <c r="N21" i="94" s="1"/>
  <c r="D21" i="94"/>
  <c r="B21" i="94"/>
  <c r="T20" i="94"/>
  <c r="Z20" i="94" s="1"/>
  <c r="P20" i="94"/>
  <c r="H20" i="94"/>
  <c r="N20" i="94" s="1"/>
  <c r="D20" i="94"/>
  <c r="T16" i="94"/>
  <c r="Z16" i="94" s="1"/>
  <c r="P16" i="94"/>
  <c r="H16" i="94"/>
  <c r="N16" i="94" s="1"/>
  <c r="D16" i="94"/>
  <c r="B16" i="94"/>
  <c r="T15" i="94"/>
  <c r="Z15" i="94" s="1"/>
  <c r="P15" i="94"/>
  <c r="H15" i="94"/>
  <c r="N15" i="94" s="1"/>
  <c r="D15" i="94"/>
  <c r="T13" i="94"/>
  <c r="Z13" i="94" s="1"/>
  <c r="P13" i="94"/>
  <c r="H13" i="94"/>
  <c r="N13" i="94" s="1"/>
  <c r="D13" i="94"/>
  <c r="B13" i="94"/>
  <c r="T12" i="94"/>
  <c r="V34" i="94" s="1"/>
  <c r="P12" i="94"/>
  <c r="R34" i="94" s="1"/>
  <c r="H12" i="94"/>
  <c r="J34" i="94" s="1"/>
  <c r="D12" i="94"/>
  <c r="F22" i="94" s="1"/>
  <c r="D6" i="94"/>
  <c r="D5" i="94"/>
  <c r="D4" i="94"/>
  <c r="B39" i="93"/>
  <c r="B38" i="93"/>
  <c r="T34" i="93"/>
  <c r="Z34" i="93" s="1"/>
  <c r="P34" i="93"/>
  <c r="H34" i="93"/>
  <c r="N34" i="93" s="1"/>
  <c r="D34" i="93"/>
  <c r="T33" i="93"/>
  <c r="Z33" i="93" s="1"/>
  <c r="P33" i="93"/>
  <c r="H33" i="93"/>
  <c r="N33" i="93" s="1"/>
  <c r="D33" i="93"/>
  <c r="T29" i="93"/>
  <c r="Z29" i="93" s="1"/>
  <c r="P29" i="93"/>
  <c r="H29" i="93"/>
  <c r="N29" i="93" s="1"/>
  <c r="D29" i="93"/>
  <c r="T25" i="93"/>
  <c r="Z25" i="93" s="1"/>
  <c r="P25" i="93"/>
  <c r="H25" i="93"/>
  <c r="N25" i="93" s="1"/>
  <c r="D25" i="93"/>
  <c r="B25" i="93"/>
  <c r="T24" i="93"/>
  <c r="Z24" i="93" s="1"/>
  <c r="P24" i="93"/>
  <c r="H24" i="93"/>
  <c r="N24" i="93" s="1"/>
  <c r="D24" i="93"/>
  <c r="T22" i="93"/>
  <c r="Z22" i="93" s="1"/>
  <c r="P22" i="93"/>
  <c r="H22" i="93"/>
  <c r="N22" i="93" s="1"/>
  <c r="D22" i="93"/>
  <c r="B22" i="93"/>
  <c r="T21" i="93"/>
  <c r="Z21" i="93" s="1"/>
  <c r="P21" i="93"/>
  <c r="H21" i="93"/>
  <c r="N21" i="93" s="1"/>
  <c r="D21" i="93"/>
  <c r="B21" i="93"/>
  <c r="T20" i="93"/>
  <c r="Z20" i="93" s="1"/>
  <c r="P20" i="93"/>
  <c r="H20" i="93"/>
  <c r="D20" i="93"/>
  <c r="T16" i="93"/>
  <c r="Z16" i="93" s="1"/>
  <c r="P16" i="93"/>
  <c r="H16" i="93"/>
  <c r="N16" i="93" s="1"/>
  <c r="D16" i="93"/>
  <c r="B16" i="93"/>
  <c r="T15" i="93"/>
  <c r="Z15" i="93" s="1"/>
  <c r="P15" i="93"/>
  <c r="H15" i="93"/>
  <c r="N15" i="93" s="1"/>
  <c r="D15" i="93"/>
  <c r="T13" i="93"/>
  <c r="Z13" i="93" s="1"/>
  <c r="P13" i="93"/>
  <c r="H13" i="93"/>
  <c r="N13" i="93" s="1"/>
  <c r="D13" i="93"/>
  <c r="B13" i="93"/>
  <c r="T12" i="93"/>
  <c r="V34" i="93" s="1"/>
  <c r="P12" i="93"/>
  <c r="R36" i="93" s="1"/>
  <c r="H12" i="93"/>
  <c r="J34" i="93" s="1"/>
  <c r="D12" i="93"/>
  <c r="F20" i="93" s="1"/>
  <c r="D6" i="93"/>
  <c r="D5" i="93"/>
  <c r="D4" i="93"/>
  <c r="B39" i="92"/>
  <c r="B38" i="92"/>
  <c r="T34" i="92"/>
  <c r="Z34" i="92" s="1"/>
  <c r="P34" i="92"/>
  <c r="H34" i="92"/>
  <c r="N34" i="92" s="1"/>
  <c r="D34" i="92"/>
  <c r="T33" i="92"/>
  <c r="P33" i="92"/>
  <c r="H33" i="92"/>
  <c r="N33" i="92" s="1"/>
  <c r="D33" i="92"/>
  <c r="T29" i="92"/>
  <c r="Z29" i="92" s="1"/>
  <c r="P29" i="92"/>
  <c r="H29" i="92"/>
  <c r="N29" i="92" s="1"/>
  <c r="D29" i="92"/>
  <c r="T25" i="92"/>
  <c r="P25" i="92"/>
  <c r="H25" i="92"/>
  <c r="N25" i="92" s="1"/>
  <c r="D25" i="92"/>
  <c r="B25" i="92"/>
  <c r="T24" i="92"/>
  <c r="Z24" i="92" s="1"/>
  <c r="P24" i="92"/>
  <c r="H24" i="92"/>
  <c r="N24" i="92" s="1"/>
  <c r="D24" i="92"/>
  <c r="T22" i="92"/>
  <c r="Z22" i="92" s="1"/>
  <c r="P22" i="92"/>
  <c r="H22" i="92"/>
  <c r="N22" i="92" s="1"/>
  <c r="D22" i="92"/>
  <c r="B22" i="92"/>
  <c r="T21" i="92"/>
  <c r="Z21" i="92" s="1"/>
  <c r="P21" i="92"/>
  <c r="H21" i="92"/>
  <c r="N21" i="92" s="1"/>
  <c r="D21" i="92"/>
  <c r="B21" i="92"/>
  <c r="T20" i="92"/>
  <c r="Z20" i="92" s="1"/>
  <c r="P20" i="92"/>
  <c r="H20" i="92"/>
  <c r="N20" i="92" s="1"/>
  <c r="D20" i="92"/>
  <c r="T16" i="92"/>
  <c r="Z16" i="92" s="1"/>
  <c r="P16" i="92"/>
  <c r="H16" i="92"/>
  <c r="N16" i="92" s="1"/>
  <c r="D16" i="92"/>
  <c r="B16" i="92"/>
  <c r="T15" i="92"/>
  <c r="Z15" i="92" s="1"/>
  <c r="P15" i="92"/>
  <c r="H15" i="92"/>
  <c r="N15" i="92" s="1"/>
  <c r="D15" i="92"/>
  <c r="T13" i="92"/>
  <c r="Z13" i="92" s="1"/>
  <c r="P13" i="92"/>
  <c r="H13" i="92"/>
  <c r="N13" i="92" s="1"/>
  <c r="D13" i="92"/>
  <c r="B13" i="92"/>
  <c r="T12" i="92"/>
  <c r="P12" i="92"/>
  <c r="H12" i="92"/>
  <c r="D12" i="92"/>
  <c r="F36" i="92" s="1"/>
  <c r="D6" i="92"/>
  <c r="D5" i="92"/>
  <c r="D4" i="92"/>
  <c r="Z72" i="91"/>
  <c r="X72" i="91"/>
  <c r="L72" i="91"/>
  <c r="N72" i="91" s="1"/>
  <c r="F72" i="91"/>
  <c r="P68" i="91"/>
  <c r="N68" i="91"/>
  <c r="L68" i="91"/>
  <c r="D68" i="91"/>
  <c r="B68" i="91"/>
  <c r="T67" i="91"/>
  <c r="H67" i="91"/>
  <c r="D67" i="91"/>
  <c r="Z65" i="91"/>
  <c r="X65" i="91"/>
  <c r="L65" i="91"/>
  <c r="N65" i="91" s="1"/>
  <c r="B65" i="91"/>
  <c r="T64" i="91"/>
  <c r="P64" i="91"/>
  <c r="X64" i="91" s="1"/>
  <c r="H64" i="91"/>
  <c r="D64" i="91"/>
  <c r="L64" i="91" s="1"/>
  <c r="N64" i="91" s="1"/>
  <c r="B64" i="91"/>
  <c r="Z63" i="91"/>
  <c r="X63" i="91"/>
  <c r="N63" i="91"/>
  <c r="L63" i="91"/>
  <c r="B63" i="91"/>
  <c r="X62" i="91"/>
  <c r="Z62" i="91" s="1"/>
  <c r="L62" i="91"/>
  <c r="N62" i="91" s="1"/>
  <c r="B62" i="91"/>
  <c r="T61" i="91"/>
  <c r="P61" i="91"/>
  <c r="X61" i="91" s="1"/>
  <c r="Z61" i="91" s="1"/>
  <c r="N61" i="91"/>
  <c r="L61" i="91"/>
  <c r="H61" i="91"/>
  <c r="D61" i="91"/>
  <c r="B61" i="91"/>
  <c r="Z60" i="91"/>
  <c r="X60" i="91"/>
  <c r="L60" i="91"/>
  <c r="N60" i="91" s="1"/>
  <c r="B60" i="91"/>
  <c r="Z59" i="91"/>
  <c r="X59" i="91"/>
  <c r="T59" i="91"/>
  <c r="P59" i="91"/>
  <c r="L59" i="91"/>
  <c r="N59" i="91" s="1"/>
  <c r="H59" i="91"/>
  <c r="D59" i="91"/>
  <c r="B59" i="91"/>
  <c r="Z58" i="91"/>
  <c r="X58" i="91"/>
  <c r="N58" i="91"/>
  <c r="L58" i="91"/>
  <c r="B58" i="91"/>
  <c r="Z57" i="91"/>
  <c r="X57" i="91"/>
  <c r="N57" i="91"/>
  <c r="L57" i="91"/>
  <c r="B57" i="91"/>
  <c r="Z56" i="91"/>
  <c r="X56" i="91"/>
  <c r="L56" i="91"/>
  <c r="N56" i="91" s="1"/>
  <c r="B56" i="91"/>
  <c r="X55" i="91"/>
  <c r="Z55" i="91" s="1"/>
  <c r="T55" i="91"/>
  <c r="P55" i="91"/>
  <c r="L55" i="91"/>
  <c r="H55" i="91"/>
  <c r="D55" i="91"/>
  <c r="B55" i="91"/>
  <c r="X54" i="91"/>
  <c r="Z54" i="91" s="1"/>
  <c r="N54" i="91"/>
  <c r="L54" i="91"/>
  <c r="B54" i="91"/>
  <c r="Z53" i="91"/>
  <c r="T53" i="91"/>
  <c r="X53" i="91" s="1"/>
  <c r="P53" i="91"/>
  <c r="H53" i="91"/>
  <c r="D53" i="91"/>
  <c r="L53" i="91" s="1"/>
  <c r="B53" i="91"/>
  <c r="X52" i="91"/>
  <c r="Z52" i="91" s="1"/>
  <c r="N52" i="91"/>
  <c r="L52" i="91"/>
  <c r="B52" i="91"/>
  <c r="T51" i="91"/>
  <c r="P51" i="91"/>
  <c r="X51" i="91" s="1"/>
  <c r="H51" i="91"/>
  <c r="D51" i="91"/>
  <c r="L51" i="91" s="1"/>
  <c r="N51" i="91" s="1"/>
  <c r="B51" i="91"/>
  <c r="Z50" i="91"/>
  <c r="X50" i="91"/>
  <c r="L50" i="91"/>
  <c r="N50" i="91" s="1"/>
  <c r="J50" i="91"/>
  <c r="B50" i="91"/>
  <c r="T49" i="91"/>
  <c r="P49" i="91"/>
  <c r="X49" i="91" s="1"/>
  <c r="Z49" i="91" s="1"/>
  <c r="L49" i="91"/>
  <c r="N49" i="91" s="1"/>
  <c r="H49" i="91"/>
  <c r="D49" i="91"/>
  <c r="B49" i="91"/>
  <c r="Z48" i="91"/>
  <c r="X48" i="91"/>
  <c r="N48" i="91"/>
  <c r="L48" i="91"/>
  <c r="B48" i="91"/>
  <c r="X47" i="91"/>
  <c r="Z47" i="91" s="1"/>
  <c r="T47" i="91"/>
  <c r="P47" i="91"/>
  <c r="L47" i="91"/>
  <c r="N47" i="91" s="1"/>
  <c r="H47" i="91"/>
  <c r="D47" i="91"/>
  <c r="B47" i="91"/>
  <c r="X46" i="91"/>
  <c r="Z46" i="91" s="1"/>
  <c r="N46" i="91"/>
  <c r="L46" i="91"/>
  <c r="B46" i="91"/>
  <c r="T45" i="91"/>
  <c r="P45" i="91"/>
  <c r="H45" i="91"/>
  <c r="D45" i="91"/>
  <c r="L45" i="91" s="1"/>
  <c r="B45" i="91"/>
  <c r="Z44" i="91"/>
  <c r="X44" i="91"/>
  <c r="R44" i="91"/>
  <c r="N44" i="91"/>
  <c r="L44" i="91"/>
  <c r="B44" i="91"/>
  <c r="T43" i="91"/>
  <c r="P43" i="91"/>
  <c r="H43" i="91"/>
  <c r="D43" i="91"/>
  <c r="B43" i="91"/>
  <c r="X42" i="91"/>
  <c r="Z42" i="91" s="1"/>
  <c r="L42" i="91"/>
  <c r="N42" i="91" s="1"/>
  <c r="J42" i="91"/>
  <c r="B42" i="91"/>
  <c r="T41" i="91"/>
  <c r="Z41" i="91" s="1"/>
  <c r="P41" i="91"/>
  <c r="X41" i="91" s="1"/>
  <c r="L41" i="91"/>
  <c r="J41" i="91"/>
  <c r="H41" i="91"/>
  <c r="N41" i="91" s="1"/>
  <c r="D41" i="91"/>
  <c r="B41" i="91"/>
  <c r="Z40" i="91"/>
  <c r="X40" i="91"/>
  <c r="N40" i="91"/>
  <c r="L40" i="91"/>
  <c r="B40" i="91"/>
  <c r="Z39" i="91"/>
  <c r="X39" i="91"/>
  <c r="N39" i="91"/>
  <c r="L39" i="91"/>
  <c r="B39" i="91"/>
  <c r="Z38" i="91"/>
  <c r="X38" i="91"/>
  <c r="N38" i="91"/>
  <c r="L38" i="91"/>
  <c r="J38" i="91"/>
  <c r="B38" i="91"/>
  <c r="Z37" i="91"/>
  <c r="X37" i="91"/>
  <c r="N37" i="91"/>
  <c r="L37" i="91"/>
  <c r="B37" i="91"/>
  <c r="Z36" i="91"/>
  <c r="X36" i="91"/>
  <c r="N36" i="91"/>
  <c r="L36" i="91"/>
  <c r="J36" i="91"/>
  <c r="F36" i="91"/>
  <c r="B36" i="91"/>
  <c r="Z35" i="91"/>
  <c r="X35" i="91"/>
  <c r="N35" i="91"/>
  <c r="L35" i="91"/>
  <c r="J35" i="91"/>
  <c r="B35" i="91"/>
  <c r="Z34" i="91"/>
  <c r="X34" i="91"/>
  <c r="L34" i="91"/>
  <c r="N34" i="91" s="1"/>
  <c r="B34" i="91"/>
  <c r="Z33" i="91"/>
  <c r="X33" i="91"/>
  <c r="N33" i="91"/>
  <c r="L33" i="91"/>
  <c r="B33" i="91"/>
  <c r="Z32" i="91"/>
  <c r="X32" i="91"/>
  <c r="L32" i="91"/>
  <c r="N32" i="91" s="1"/>
  <c r="B32" i="91"/>
  <c r="X31" i="91"/>
  <c r="Z31" i="91" s="1"/>
  <c r="R31" i="91"/>
  <c r="N31" i="91"/>
  <c r="L31" i="91"/>
  <c r="B31" i="91"/>
  <c r="T30" i="91"/>
  <c r="P30" i="91"/>
  <c r="X30" i="91" s="1"/>
  <c r="H30" i="91"/>
  <c r="F30" i="91"/>
  <c r="D30" i="91"/>
  <c r="L30" i="91" s="1"/>
  <c r="N30" i="91" s="1"/>
  <c r="B30" i="91"/>
  <c r="X29" i="91"/>
  <c r="Z29" i="91" s="1"/>
  <c r="L29" i="91"/>
  <c r="N29" i="91" s="1"/>
  <c r="J29" i="91"/>
  <c r="B29" i="91"/>
  <c r="Z28" i="91"/>
  <c r="X28" i="91"/>
  <c r="L28" i="91"/>
  <c r="N28" i="91" s="1"/>
  <c r="B28" i="91"/>
  <c r="Z27" i="91"/>
  <c r="X27" i="91"/>
  <c r="R27" i="91"/>
  <c r="N27" i="91"/>
  <c r="L27" i="91"/>
  <c r="B27" i="91"/>
  <c r="Z26" i="91"/>
  <c r="X26" i="91"/>
  <c r="V26" i="91"/>
  <c r="R26" i="91"/>
  <c r="N26" i="91"/>
  <c r="L26" i="91"/>
  <c r="B26" i="91"/>
  <c r="X25" i="91"/>
  <c r="Z25" i="91" s="1"/>
  <c r="V25" i="91"/>
  <c r="L25" i="91"/>
  <c r="N25" i="91" s="1"/>
  <c r="B25" i="91"/>
  <c r="X24" i="91"/>
  <c r="Z24" i="91" s="1"/>
  <c r="N24" i="91"/>
  <c r="L24" i="91"/>
  <c r="B24" i="91"/>
  <c r="Z23" i="91"/>
  <c r="X23" i="91"/>
  <c r="N23" i="91"/>
  <c r="L23" i="91"/>
  <c r="F23" i="91"/>
  <c r="B23" i="91"/>
  <c r="X22" i="91"/>
  <c r="Z22" i="91" s="1"/>
  <c r="L22" i="91"/>
  <c r="N22" i="91" s="1"/>
  <c r="J22" i="91"/>
  <c r="B22" i="91"/>
  <c r="X21" i="91"/>
  <c r="Z21" i="91" s="1"/>
  <c r="L21" i="91"/>
  <c r="N21" i="91" s="1"/>
  <c r="J21" i="91"/>
  <c r="B21" i="91"/>
  <c r="T20" i="91"/>
  <c r="R20" i="91"/>
  <c r="P20" i="91"/>
  <c r="X20" i="91" s="1"/>
  <c r="Z20" i="91" s="1"/>
  <c r="H20" i="91"/>
  <c r="D20" i="91"/>
  <c r="L20" i="91" s="1"/>
  <c r="B20" i="91"/>
  <c r="Z19" i="91"/>
  <c r="T19" i="91"/>
  <c r="P19" i="91"/>
  <c r="X19" i="91" s="1"/>
  <c r="L19" i="91"/>
  <c r="J19" i="91"/>
  <c r="H19" i="91"/>
  <c r="D19" i="91"/>
  <c r="T17" i="91"/>
  <c r="R17" i="91"/>
  <c r="D17" i="91"/>
  <c r="Z15" i="91"/>
  <c r="T15" i="91"/>
  <c r="P15" i="91"/>
  <c r="P17" i="91" s="1"/>
  <c r="L15" i="91"/>
  <c r="J15" i="91"/>
  <c r="H15" i="91"/>
  <c r="N15" i="91" s="1"/>
  <c r="D15" i="91"/>
  <c r="X13" i="91"/>
  <c r="Z13" i="91" s="1"/>
  <c r="P13" i="91"/>
  <c r="N13" i="91"/>
  <c r="L13" i="91"/>
  <c r="D13" i="91"/>
  <c r="D12" i="91" s="1"/>
  <c r="F63" i="91" s="1"/>
  <c r="B13" i="91"/>
  <c r="T12" i="91"/>
  <c r="V51" i="91" s="1"/>
  <c r="P12" i="91"/>
  <c r="R52" i="91" s="1"/>
  <c r="N12" i="91"/>
  <c r="L12" i="91"/>
  <c r="H12" i="91"/>
  <c r="D6" i="91"/>
  <c r="D4" i="91"/>
  <c r="V31" i="90"/>
  <c r="F31" i="90"/>
  <c r="V28" i="90"/>
  <c r="R28" i="90"/>
  <c r="F28" i="90"/>
  <c r="Z26" i="90"/>
  <c r="X26" i="90"/>
  <c r="V26" i="90"/>
  <c r="R26" i="90"/>
  <c r="N26" i="90"/>
  <c r="L26" i="90"/>
  <c r="J26" i="90"/>
  <c r="F26" i="90"/>
  <c r="V24" i="90"/>
  <c r="T24" i="90"/>
  <c r="R24" i="90"/>
  <c r="F24" i="90"/>
  <c r="Z22" i="90"/>
  <c r="V22" i="90"/>
  <c r="R22" i="90"/>
  <c r="P22" i="90"/>
  <c r="X22" i="90" s="1"/>
  <c r="N22" i="90"/>
  <c r="L22" i="90"/>
  <c r="J22" i="90"/>
  <c r="F22" i="90"/>
  <c r="D22" i="90"/>
  <c r="B22" i="90"/>
  <c r="Z21" i="90"/>
  <c r="R21" i="90"/>
  <c r="P21" i="90"/>
  <c r="N21" i="90"/>
  <c r="J21" i="90"/>
  <c r="F21" i="90"/>
  <c r="D21" i="90"/>
  <c r="L21" i="90" s="1"/>
  <c r="B21" i="90"/>
  <c r="Z20" i="90"/>
  <c r="T20" i="90"/>
  <c r="R20" i="90"/>
  <c r="J20" i="90"/>
  <c r="H20" i="90"/>
  <c r="N20" i="90" s="1"/>
  <c r="F20" i="90"/>
  <c r="Z18" i="90"/>
  <c r="T18" i="90"/>
  <c r="R18" i="90"/>
  <c r="P18" i="90"/>
  <c r="X18" i="90" s="1"/>
  <c r="J18" i="90"/>
  <c r="H18" i="90"/>
  <c r="N18" i="90" s="1"/>
  <c r="F18" i="90"/>
  <c r="D18" i="90"/>
  <c r="L18" i="90" s="1"/>
  <c r="R16" i="90"/>
  <c r="J16" i="90"/>
  <c r="H16" i="90"/>
  <c r="F16" i="90"/>
  <c r="Z14" i="90"/>
  <c r="T14" i="90"/>
  <c r="R14" i="90"/>
  <c r="P14" i="90"/>
  <c r="J14" i="90"/>
  <c r="H14" i="90"/>
  <c r="L14" i="90" s="1"/>
  <c r="F14" i="90"/>
  <c r="D14" i="90"/>
  <c r="Z12" i="90"/>
  <c r="X12" i="90"/>
  <c r="T12" i="90"/>
  <c r="T16" i="90" s="1"/>
  <c r="Z16" i="90" s="1"/>
  <c r="P12" i="90"/>
  <c r="R31" i="90" s="1"/>
  <c r="N12" i="90"/>
  <c r="L12" i="90"/>
  <c r="H12" i="90"/>
  <c r="J31" i="90" s="1"/>
  <c r="D12" i="90"/>
  <c r="D16" i="90" s="1"/>
  <c r="D6" i="90"/>
  <c r="D4" i="90"/>
  <c r="Z89" i="89"/>
  <c r="X89" i="89"/>
  <c r="N89" i="89"/>
  <c r="L89" i="89"/>
  <c r="T85" i="89"/>
  <c r="Z85" i="89" s="1"/>
  <c r="P85" i="89"/>
  <c r="N85" i="89"/>
  <c r="H85" i="89"/>
  <c r="D85" i="89"/>
  <c r="L85" i="89" s="1"/>
  <c r="Z83" i="89"/>
  <c r="X83" i="89"/>
  <c r="N83" i="89"/>
  <c r="L83" i="89"/>
  <c r="B83" i="89"/>
  <c r="T82" i="89"/>
  <c r="Z82" i="89" s="1"/>
  <c r="P82" i="89"/>
  <c r="X82" i="89" s="1"/>
  <c r="N82" i="89"/>
  <c r="H82" i="89"/>
  <c r="L82" i="89" s="1"/>
  <c r="D82" i="89"/>
  <c r="B82" i="89"/>
  <c r="X81" i="89"/>
  <c r="Z81" i="89" s="1"/>
  <c r="N81" i="89"/>
  <c r="L81" i="89"/>
  <c r="B81" i="89"/>
  <c r="Z80" i="89"/>
  <c r="T80" i="89"/>
  <c r="X80" i="89" s="1"/>
  <c r="P80" i="89"/>
  <c r="L80" i="89"/>
  <c r="J80" i="89"/>
  <c r="H80" i="89"/>
  <c r="N80" i="89" s="1"/>
  <c r="D80" i="89"/>
  <c r="B80" i="89"/>
  <c r="Z79" i="89"/>
  <c r="X79" i="89"/>
  <c r="N79" i="89"/>
  <c r="L79" i="89"/>
  <c r="B79" i="89"/>
  <c r="X78" i="89"/>
  <c r="Z78" i="89" s="1"/>
  <c r="L78" i="89"/>
  <c r="N78" i="89" s="1"/>
  <c r="B78" i="89"/>
  <c r="X77" i="89"/>
  <c r="Z77" i="89" s="1"/>
  <c r="N77" i="89"/>
  <c r="L77" i="89"/>
  <c r="B77" i="89"/>
  <c r="Z76" i="89"/>
  <c r="X76" i="89"/>
  <c r="N76" i="89"/>
  <c r="L76" i="89"/>
  <c r="B76" i="89"/>
  <c r="Z75" i="89"/>
  <c r="X75" i="89"/>
  <c r="N75" i="89"/>
  <c r="L75" i="89"/>
  <c r="B75" i="89"/>
  <c r="X74" i="89"/>
  <c r="Z74" i="89" s="1"/>
  <c r="L74" i="89"/>
  <c r="N74" i="89" s="1"/>
  <c r="B74" i="89"/>
  <c r="T73" i="89"/>
  <c r="P73" i="89"/>
  <c r="X73" i="89" s="1"/>
  <c r="Z73" i="89" s="1"/>
  <c r="H73" i="89"/>
  <c r="D73" i="89"/>
  <c r="L73" i="89" s="1"/>
  <c r="B73" i="89"/>
  <c r="Z72" i="89"/>
  <c r="X72" i="89"/>
  <c r="N72" i="89"/>
  <c r="L72" i="89"/>
  <c r="B72" i="89"/>
  <c r="Z71" i="89"/>
  <c r="X71" i="89"/>
  <c r="N71" i="89"/>
  <c r="L71" i="89"/>
  <c r="B71" i="89"/>
  <c r="X70" i="89"/>
  <c r="Z70" i="89" s="1"/>
  <c r="L70" i="89"/>
  <c r="N70" i="89" s="1"/>
  <c r="B70" i="89"/>
  <c r="Z69" i="89"/>
  <c r="X69" i="89"/>
  <c r="L69" i="89"/>
  <c r="N69" i="89" s="1"/>
  <c r="B69" i="89"/>
  <c r="T68" i="89"/>
  <c r="P68" i="89"/>
  <c r="H68" i="89"/>
  <c r="N68" i="89" s="1"/>
  <c r="D68" i="89"/>
  <c r="L68" i="89" s="1"/>
  <c r="B68" i="89"/>
  <c r="Z67" i="89"/>
  <c r="X67" i="89"/>
  <c r="N67" i="89"/>
  <c r="L67" i="89"/>
  <c r="B67" i="89"/>
  <c r="Z66" i="89"/>
  <c r="X66" i="89"/>
  <c r="N66" i="89"/>
  <c r="L66" i="89"/>
  <c r="B66" i="89"/>
  <c r="T65" i="89"/>
  <c r="P65" i="89"/>
  <c r="X65" i="89" s="1"/>
  <c r="Z65" i="89" s="1"/>
  <c r="H65" i="89"/>
  <c r="D65" i="89"/>
  <c r="L65" i="89" s="1"/>
  <c r="B65" i="89"/>
  <c r="Z64" i="89"/>
  <c r="X64" i="89"/>
  <c r="N64" i="89"/>
  <c r="L64" i="89"/>
  <c r="B64" i="89"/>
  <c r="T63" i="89"/>
  <c r="P63" i="89"/>
  <c r="X63" i="89" s="1"/>
  <c r="L63" i="89"/>
  <c r="N63" i="89" s="1"/>
  <c r="H63" i="89"/>
  <c r="D63" i="89"/>
  <c r="B63" i="89"/>
  <c r="X62" i="89"/>
  <c r="Z62" i="89" s="1"/>
  <c r="V62" i="89"/>
  <c r="L62" i="89"/>
  <c r="N62" i="89" s="1"/>
  <c r="B62" i="89"/>
  <c r="Z61" i="89"/>
  <c r="X61" i="89"/>
  <c r="T61" i="89"/>
  <c r="P61" i="89"/>
  <c r="H61" i="89"/>
  <c r="D61" i="89"/>
  <c r="B61" i="89"/>
  <c r="Z60" i="89"/>
  <c r="X60" i="89"/>
  <c r="N60" i="89"/>
  <c r="L60" i="89"/>
  <c r="B60" i="89"/>
  <c r="V59" i="89"/>
  <c r="T59" i="89"/>
  <c r="P59" i="89"/>
  <c r="N59" i="89"/>
  <c r="H59" i="89"/>
  <c r="D59" i="89"/>
  <c r="L59" i="89" s="1"/>
  <c r="B59" i="89"/>
  <c r="X58" i="89"/>
  <c r="Z58" i="89" s="1"/>
  <c r="L58" i="89"/>
  <c r="N58" i="89" s="1"/>
  <c r="B58" i="89"/>
  <c r="T57" i="89"/>
  <c r="P57" i="89"/>
  <c r="X57" i="89" s="1"/>
  <c r="Z57" i="89" s="1"/>
  <c r="H57" i="89"/>
  <c r="D57" i="89"/>
  <c r="L57" i="89" s="1"/>
  <c r="B57" i="89"/>
  <c r="Z56" i="89"/>
  <c r="X56" i="89"/>
  <c r="N56" i="89"/>
  <c r="L56" i="89"/>
  <c r="B56" i="89"/>
  <c r="T55" i="89"/>
  <c r="Z55" i="89" s="1"/>
  <c r="P55" i="89"/>
  <c r="X55" i="89" s="1"/>
  <c r="N55" i="89"/>
  <c r="L55" i="89"/>
  <c r="H55" i="89"/>
  <c r="D55" i="89"/>
  <c r="B55" i="89"/>
  <c r="X54" i="89"/>
  <c r="Z54" i="89" s="1"/>
  <c r="V54" i="89"/>
  <c r="L54" i="89"/>
  <c r="N54" i="89" s="1"/>
  <c r="B54" i="89"/>
  <c r="Z53" i="89"/>
  <c r="X53" i="89"/>
  <c r="T53" i="89"/>
  <c r="P53" i="89"/>
  <c r="J53" i="89"/>
  <c r="H53" i="89"/>
  <c r="D53" i="89"/>
  <c r="B53" i="89"/>
  <c r="Z52" i="89"/>
  <c r="X52" i="89"/>
  <c r="N52" i="89"/>
  <c r="L52" i="89"/>
  <c r="B52" i="89"/>
  <c r="T51" i="89"/>
  <c r="P51" i="89"/>
  <c r="H51" i="89"/>
  <c r="D51" i="89"/>
  <c r="L51" i="89" s="1"/>
  <c r="N51" i="89" s="1"/>
  <c r="B51" i="89"/>
  <c r="X50" i="89"/>
  <c r="Z50" i="89" s="1"/>
  <c r="L50" i="89"/>
  <c r="N50" i="89" s="1"/>
  <c r="B50" i="89"/>
  <c r="T49" i="89"/>
  <c r="P49" i="89"/>
  <c r="X49" i="89" s="1"/>
  <c r="Z49" i="89" s="1"/>
  <c r="H49" i="89"/>
  <c r="N49" i="89" s="1"/>
  <c r="D49" i="89"/>
  <c r="L49" i="89" s="1"/>
  <c r="B49" i="89"/>
  <c r="Z48" i="89"/>
  <c r="X48" i="89"/>
  <c r="N48" i="89"/>
  <c r="L48" i="89"/>
  <c r="B48" i="89"/>
  <c r="T47" i="89"/>
  <c r="Z47" i="89" s="1"/>
  <c r="P47" i="89"/>
  <c r="X47" i="89" s="1"/>
  <c r="N47" i="89"/>
  <c r="L47" i="89"/>
  <c r="H47" i="89"/>
  <c r="D47" i="89"/>
  <c r="B47" i="89"/>
  <c r="Z46" i="89"/>
  <c r="X46" i="89"/>
  <c r="N46" i="89"/>
  <c r="L46" i="89"/>
  <c r="B46" i="89"/>
  <c r="Z45" i="89"/>
  <c r="X45" i="89"/>
  <c r="N45" i="89"/>
  <c r="L45" i="89"/>
  <c r="B45" i="89"/>
  <c r="Z44" i="89"/>
  <c r="X44" i="89"/>
  <c r="N44" i="89"/>
  <c r="L44" i="89"/>
  <c r="B44" i="89"/>
  <c r="X43" i="89"/>
  <c r="Z43" i="89" s="1"/>
  <c r="L43" i="89"/>
  <c r="N43" i="89" s="1"/>
  <c r="B43" i="89"/>
  <c r="Z42" i="89"/>
  <c r="X42" i="89"/>
  <c r="N42" i="89"/>
  <c r="L42" i="89"/>
  <c r="B42" i="89"/>
  <c r="Z41" i="89"/>
  <c r="X41" i="89"/>
  <c r="N41" i="89"/>
  <c r="L41" i="89"/>
  <c r="B41" i="89"/>
  <c r="Z40" i="89"/>
  <c r="X40" i="89"/>
  <c r="R40" i="89"/>
  <c r="N40" i="89"/>
  <c r="L40" i="89"/>
  <c r="B40" i="89"/>
  <c r="Z39" i="89"/>
  <c r="X39" i="89"/>
  <c r="R39" i="89"/>
  <c r="N39" i="89"/>
  <c r="L39" i="89"/>
  <c r="B39" i="89"/>
  <c r="X38" i="89"/>
  <c r="Z38" i="89" s="1"/>
  <c r="V38" i="89"/>
  <c r="N38" i="89"/>
  <c r="L38" i="89"/>
  <c r="B38" i="89"/>
  <c r="Z37" i="89"/>
  <c r="X37" i="89"/>
  <c r="N37" i="89"/>
  <c r="L37" i="89"/>
  <c r="B37" i="89"/>
  <c r="T36" i="89"/>
  <c r="P36" i="89"/>
  <c r="X36" i="89" s="1"/>
  <c r="Z36" i="89" s="1"/>
  <c r="N36" i="89"/>
  <c r="L36" i="89"/>
  <c r="H36" i="89"/>
  <c r="D36" i="89"/>
  <c r="B36" i="89"/>
  <c r="X35" i="89"/>
  <c r="Z35" i="89" s="1"/>
  <c r="V35" i="89"/>
  <c r="L35" i="89"/>
  <c r="N35" i="89" s="1"/>
  <c r="B35" i="89"/>
  <c r="X34" i="89"/>
  <c r="Z34" i="89" s="1"/>
  <c r="V34" i="89"/>
  <c r="N34" i="89"/>
  <c r="L34" i="89"/>
  <c r="B34" i="89"/>
  <c r="X33" i="89"/>
  <c r="Z33" i="89" s="1"/>
  <c r="N33" i="89"/>
  <c r="L33" i="89"/>
  <c r="B33" i="89"/>
  <c r="Z32" i="89"/>
  <c r="X32" i="89"/>
  <c r="N32" i="89"/>
  <c r="L32" i="89"/>
  <c r="B32" i="89"/>
  <c r="Z31" i="89"/>
  <c r="X31" i="89"/>
  <c r="N31" i="89"/>
  <c r="L31" i="89"/>
  <c r="J31" i="89"/>
  <c r="B31" i="89"/>
  <c r="Z30" i="89"/>
  <c r="X30" i="89"/>
  <c r="L30" i="89"/>
  <c r="N30" i="89" s="1"/>
  <c r="J30" i="89"/>
  <c r="B30" i="89"/>
  <c r="Z29" i="89"/>
  <c r="X29" i="89"/>
  <c r="L29" i="89"/>
  <c r="N29" i="89" s="1"/>
  <c r="B29" i="89"/>
  <c r="X28" i="89"/>
  <c r="Z28" i="89" s="1"/>
  <c r="R28" i="89"/>
  <c r="N28" i="89"/>
  <c r="L28" i="89"/>
  <c r="J28" i="89"/>
  <c r="B28" i="89"/>
  <c r="X27" i="89"/>
  <c r="Z27" i="89" s="1"/>
  <c r="V27" i="89"/>
  <c r="R27" i="89"/>
  <c r="L27" i="89"/>
  <c r="N27" i="89" s="1"/>
  <c r="B27" i="89"/>
  <c r="X26" i="89"/>
  <c r="Z26" i="89" s="1"/>
  <c r="V26" i="89"/>
  <c r="N26" i="89"/>
  <c r="L26" i="89"/>
  <c r="B26" i="89"/>
  <c r="Z25" i="89"/>
  <c r="X25" i="89"/>
  <c r="T25" i="89"/>
  <c r="P25" i="89"/>
  <c r="H25" i="89"/>
  <c r="D25" i="89"/>
  <c r="L25" i="89" s="1"/>
  <c r="B25" i="89"/>
  <c r="T24" i="89"/>
  <c r="R24" i="89"/>
  <c r="P24" i="89"/>
  <c r="H24" i="89"/>
  <c r="D24" i="89"/>
  <c r="L24" i="89" s="1"/>
  <c r="N24" i="89" s="1"/>
  <c r="Z20" i="89"/>
  <c r="X20" i="89"/>
  <c r="R20" i="89"/>
  <c r="N20" i="89"/>
  <c r="L20" i="89"/>
  <c r="J20" i="89"/>
  <c r="B20" i="89"/>
  <c r="Z19" i="89"/>
  <c r="X19" i="89"/>
  <c r="V19" i="89"/>
  <c r="R19" i="89"/>
  <c r="N19" i="89"/>
  <c r="L19" i="89"/>
  <c r="B19" i="89"/>
  <c r="X18" i="89"/>
  <c r="Z18" i="89" s="1"/>
  <c r="V18" i="89"/>
  <c r="N18" i="89"/>
  <c r="L18" i="89"/>
  <c r="B18" i="89"/>
  <c r="X17" i="89"/>
  <c r="Z17" i="89" s="1"/>
  <c r="T17" i="89"/>
  <c r="P17" i="89"/>
  <c r="H17" i="89"/>
  <c r="D17" i="89"/>
  <c r="L17" i="89" s="1"/>
  <c r="Z15" i="89"/>
  <c r="P15" i="89"/>
  <c r="P12" i="89" s="1"/>
  <c r="N15" i="89"/>
  <c r="D15" i="89"/>
  <c r="L15" i="89" s="1"/>
  <c r="B15" i="89"/>
  <c r="Z14" i="89"/>
  <c r="X14" i="89"/>
  <c r="P14" i="89"/>
  <c r="N14" i="89"/>
  <c r="D14" i="89"/>
  <c r="L14" i="89" s="1"/>
  <c r="B14" i="89"/>
  <c r="X13" i="89"/>
  <c r="Z13" i="89" s="1"/>
  <c r="P13" i="89"/>
  <c r="D13" i="89"/>
  <c r="L13" i="89" s="1"/>
  <c r="N13" i="89" s="1"/>
  <c r="B13" i="89"/>
  <c r="T12" i="89"/>
  <c r="V78" i="89" s="1"/>
  <c r="H12" i="89"/>
  <c r="D6" i="89"/>
  <c r="D4" i="89"/>
  <c r="Z90" i="88"/>
  <c r="X90" i="88"/>
  <c r="L90" i="88"/>
  <c r="N90" i="88" s="1"/>
  <c r="J90" i="88"/>
  <c r="Z86" i="88"/>
  <c r="X86" i="88"/>
  <c r="T86" i="88"/>
  <c r="P86" i="88"/>
  <c r="H86" i="88"/>
  <c r="N86" i="88" s="1"/>
  <c r="D86" i="88"/>
  <c r="Z84" i="88"/>
  <c r="X84" i="88"/>
  <c r="L84" i="88"/>
  <c r="N84" i="88" s="1"/>
  <c r="B84" i="88"/>
  <c r="T83" i="88"/>
  <c r="Z83" i="88" s="1"/>
  <c r="P83" i="88"/>
  <c r="X83" i="88" s="1"/>
  <c r="L83" i="88"/>
  <c r="N83" i="88" s="1"/>
  <c r="H83" i="88"/>
  <c r="D83" i="88"/>
  <c r="B83" i="88"/>
  <c r="Z82" i="88"/>
  <c r="X82" i="88"/>
  <c r="L82" i="88"/>
  <c r="N82" i="88" s="1"/>
  <c r="B82" i="88"/>
  <c r="X81" i="88"/>
  <c r="Z81" i="88" s="1"/>
  <c r="T81" i="88"/>
  <c r="P81" i="88"/>
  <c r="L81" i="88"/>
  <c r="N81" i="88" s="1"/>
  <c r="H81" i="88"/>
  <c r="D81" i="88"/>
  <c r="B81" i="88"/>
  <c r="X80" i="88"/>
  <c r="Z80" i="88" s="1"/>
  <c r="N80" i="88"/>
  <c r="L80" i="88"/>
  <c r="B80" i="88"/>
  <c r="X79" i="88"/>
  <c r="Z79" i="88" s="1"/>
  <c r="N79" i="88"/>
  <c r="L79" i="88"/>
  <c r="B79" i="88"/>
  <c r="Z78" i="88"/>
  <c r="X78" i="88"/>
  <c r="L78" i="88"/>
  <c r="N78" i="88" s="1"/>
  <c r="B78" i="88"/>
  <c r="X77" i="88"/>
  <c r="Z77" i="88" s="1"/>
  <c r="L77" i="88"/>
  <c r="N77" i="88" s="1"/>
  <c r="J77" i="88"/>
  <c r="F77" i="88"/>
  <c r="B77" i="88"/>
  <c r="Z76" i="88"/>
  <c r="X76" i="88"/>
  <c r="L76" i="88"/>
  <c r="N76" i="88" s="1"/>
  <c r="B76" i="88"/>
  <c r="Z75" i="88"/>
  <c r="X75" i="88"/>
  <c r="L75" i="88"/>
  <c r="N75" i="88" s="1"/>
  <c r="B75" i="88"/>
  <c r="T74" i="88"/>
  <c r="P74" i="88"/>
  <c r="X74" i="88" s="1"/>
  <c r="N74" i="88"/>
  <c r="H74" i="88"/>
  <c r="D74" i="88"/>
  <c r="L74" i="88" s="1"/>
  <c r="B74" i="88"/>
  <c r="X73" i="88"/>
  <c r="Z73" i="88" s="1"/>
  <c r="L73" i="88"/>
  <c r="N73" i="88" s="1"/>
  <c r="F73" i="88"/>
  <c r="B73" i="88"/>
  <c r="Z72" i="88"/>
  <c r="X72" i="88"/>
  <c r="L72" i="88"/>
  <c r="N72" i="88" s="1"/>
  <c r="B72" i="88"/>
  <c r="Z71" i="88"/>
  <c r="X71" i="88"/>
  <c r="N71" i="88"/>
  <c r="L71" i="88"/>
  <c r="B71" i="88"/>
  <c r="X70" i="88"/>
  <c r="Z70" i="88" s="1"/>
  <c r="N70" i="88"/>
  <c r="L70" i="88"/>
  <c r="J70" i="88"/>
  <c r="B70" i="88"/>
  <c r="T69" i="88"/>
  <c r="P69" i="88"/>
  <c r="H69" i="88"/>
  <c r="D69" i="88"/>
  <c r="L69" i="88" s="1"/>
  <c r="B69" i="88"/>
  <c r="Z68" i="88"/>
  <c r="X68" i="88"/>
  <c r="L68" i="88"/>
  <c r="N68" i="88" s="1"/>
  <c r="B68" i="88"/>
  <c r="Z67" i="88"/>
  <c r="X67" i="88"/>
  <c r="N67" i="88"/>
  <c r="L67" i="88"/>
  <c r="B67" i="88"/>
  <c r="T66" i="88"/>
  <c r="P66" i="88"/>
  <c r="N66" i="88"/>
  <c r="H66" i="88"/>
  <c r="D66" i="88"/>
  <c r="L66" i="88" s="1"/>
  <c r="B66" i="88"/>
  <c r="X65" i="88"/>
  <c r="Z65" i="88" s="1"/>
  <c r="L65" i="88"/>
  <c r="N65" i="88" s="1"/>
  <c r="B65" i="88"/>
  <c r="Z64" i="88"/>
  <c r="T64" i="88"/>
  <c r="P64" i="88"/>
  <c r="X64" i="88" s="1"/>
  <c r="N64" i="88"/>
  <c r="L64" i="88"/>
  <c r="H64" i="88"/>
  <c r="D64" i="88"/>
  <c r="B64" i="88"/>
  <c r="X63" i="88"/>
  <c r="Z63" i="88" s="1"/>
  <c r="N63" i="88"/>
  <c r="L63" i="88"/>
  <c r="B63" i="88"/>
  <c r="Z62" i="88"/>
  <c r="X62" i="88"/>
  <c r="T62" i="88"/>
  <c r="P62" i="88"/>
  <c r="L62" i="88"/>
  <c r="N62" i="88" s="1"/>
  <c r="H62" i="88"/>
  <c r="F62" i="88"/>
  <c r="D62" i="88"/>
  <c r="B62" i="88"/>
  <c r="X61" i="88"/>
  <c r="Z61" i="88" s="1"/>
  <c r="L61" i="88"/>
  <c r="N61" i="88" s="1"/>
  <c r="B61" i="88"/>
  <c r="X60" i="88"/>
  <c r="Z60" i="88" s="1"/>
  <c r="V60" i="88"/>
  <c r="T60" i="88"/>
  <c r="P60" i="88"/>
  <c r="H60" i="88"/>
  <c r="D60" i="88"/>
  <c r="B60" i="88"/>
  <c r="Z59" i="88"/>
  <c r="X59" i="88"/>
  <c r="L59" i="88"/>
  <c r="N59" i="88" s="1"/>
  <c r="B59" i="88"/>
  <c r="T58" i="88"/>
  <c r="R58" i="88"/>
  <c r="P58" i="88"/>
  <c r="X58" i="88" s="1"/>
  <c r="H58" i="88"/>
  <c r="D58" i="88"/>
  <c r="L58" i="88" s="1"/>
  <c r="N58" i="88" s="1"/>
  <c r="B58" i="88"/>
  <c r="X57" i="88"/>
  <c r="Z57" i="88" s="1"/>
  <c r="L57" i="88"/>
  <c r="N57" i="88" s="1"/>
  <c r="J57" i="88"/>
  <c r="F57" i="88"/>
  <c r="B57" i="88"/>
  <c r="T56" i="88"/>
  <c r="P56" i="88"/>
  <c r="X56" i="88" s="1"/>
  <c r="Z56" i="88" s="1"/>
  <c r="N56" i="88"/>
  <c r="L56" i="88"/>
  <c r="J56" i="88"/>
  <c r="H56" i="88"/>
  <c r="D56" i="88"/>
  <c r="B56" i="88"/>
  <c r="Z55" i="88"/>
  <c r="X55" i="88"/>
  <c r="N55" i="88"/>
  <c r="L55" i="88"/>
  <c r="B55" i="88"/>
  <c r="Z54" i="88"/>
  <c r="X54" i="88"/>
  <c r="T54" i="88"/>
  <c r="P54" i="88"/>
  <c r="L54" i="88"/>
  <c r="N54" i="88" s="1"/>
  <c r="J54" i="88"/>
  <c r="H54" i="88"/>
  <c r="D54" i="88"/>
  <c r="B54" i="88"/>
  <c r="X53" i="88"/>
  <c r="Z53" i="88" s="1"/>
  <c r="L53" i="88"/>
  <c r="N53" i="88" s="1"/>
  <c r="B53" i="88"/>
  <c r="X52" i="88"/>
  <c r="T52" i="88"/>
  <c r="Z52" i="88" s="1"/>
  <c r="P52" i="88"/>
  <c r="H52" i="88"/>
  <c r="F52" i="88"/>
  <c r="D52" i="88"/>
  <c r="L52" i="88" s="1"/>
  <c r="B52" i="88"/>
  <c r="Z51" i="88"/>
  <c r="X51" i="88"/>
  <c r="N51" i="88"/>
  <c r="L51" i="88"/>
  <c r="B51" i="88"/>
  <c r="T50" i="88"/>
  <c r="P50" i="88"/>
  <c r="N50" i="88"/>
  <c r="H50" i="88"/>
  <c r="D50" i="88"/>
  <c r="L50" i="88" s="1"/>
  <c r="B50" i="88"/>
  <c r="X49" i="88"/>
  <c r="Z49" i="88" s="1"/>
  <c r="L49" i="88"/>
  <c r="N49" i="88" s="1"/>
  <c r="B49" i="88"/>
  <c r="Z48" i="88"/>
  <c r="T48" i="88"/>
  <c r="P48" i="88"/>
  <c r="X48" i="88" s="1"/>
  <c r="N48" i="88"/>
  <c r="L48" i="88"/>
  <c r="H48" i="88"/>
  <c r="D48" i="88"/>
  <c r="B48" i="88"/>
  <c r="Z47" i="88"/>
  <c r="X47" i="88"/>
  <c r="N47" i="88"/>
  <c r="L47" i="88"/>
  <c r="B47" i="88"/>
  <c r="Z46" i="88"/>
  <c r="X46" i="88"/>
  <c r="N46" i="88"/>
  <c r="L46" i="88"/>
  <c r="F46" i="88"/>
  <c r="B46" i="88"/>
  <c r="Z45" i="88"/>
  <c r="X45" i="88"/>
  <c r="N45" i="88"/>
  <c r="L45" i="88"/>
  <c r="F45" i="88"/>
  <c r="B45" i="88"/>
  <c r="Z44" i="88"/>
  <c r="X44" i="88"/>
  <c r="L44" i="88"/>
  <c r="N44" i="88" s="1"/>
  <c r="B44" i="88"/>
  <c r="Z43" i="88"/>
  <c r="X43" i="88"/>
  <c r="N43" i="88"/>
  <c r="L43" i="88"/>
  <c r="B43" i="88"/>
  <c r="X42" i="88"/>
  <c r="Z42" i="88" s="1"/>
  <c r="V42" i="88"/>
  <c r="L42" i="88"/>
  <c r="N42" i="88" s="1"/>
  <c r="B42" i="88"/>
  <c r="X41" i="88"/>
  <c r="Z41" i="88" s="1"/>
  <c r="V41" i="88"/>
  <c r="L41" i="88"/>
  <c r="N41" i="88" s="1"/>
  <c r="B41" i="88"/>
  <c r="Z40" i="88"/>
  <c r="X40" i="88"/>
  <c r="N40" i="88"/>
  <c r="L40" i="88"/>
  <c r="B40" i="88"/>
  <c r="Z39" i="88"/>
  <c r="X39" i="88"/>
  <c r="N39" i="88"/>
  <c r="L39" i="88"/>
  <c r="B39" i="88"/>
  <c r="Z38" i="88"/>
  <c r="X38" i="88"/>
  <c r="N38" i="88"/>
  <c r="L38" i="88"/>
  <c r="J38" i="88"/>
  <c r="B38" i="88"/>
  <c r="T37" i="88"/>
  <c r="P37" i="88"/>
  <c r="X37" i="88" s="1"/>
  <c r="Z37" i="88" s="1"/>
  <c r="N37" i="88"/>
  <c r="L37" i="88"/>
  <c r="H37" i="88"/>
  <c r="D37" i="88"/>
  <c r="B37" i="88"/>
  <c r="X36" i="88"/>
  <c r="Z36" i="88" s="1"/>
  <c r="V36" i="88"/>
  <c r="N36" i="88"/>
  <c r="L36" i="88"/>
  <c r="B36" i="88"/>
  <c r="X35" i="88"/>
  <c r="Z35" i="88" s="1"/>
  <c r="N35" i="88"/>
  <c r="L35" i="88"/>
  <c r="B35" i="88"/>
  <c r="X34" i="88"/>
  <c r="Z34" i="88" s="1"/>
  <c r="L34" i="88"/>
  <c r="N34" i="88" s="1"/>
  <c r="J34" i="88"/>
  <c r="B34" i="88"/>
  <c r="Z33" i="88"/>
  <c r="X33" i="88"/>
  <c r="N33" i="88"/>
  <c r="L33" i="88"/>
  <c r="J33" i="88"/>
  <c r="F33" i="88"/>
  <c r="B33" i="88"/>
  <c r="Z32" i="88"/>
  <c r="X32" i="88"/>
  <c r="N32" i="88"/>
  <c r="L32" i="88"/>
  <c r="F32" i="88"/>
  <c r="B32" i="88"/>
  <c r="Z31" i="88"/>
  <c r="X31" i="88"/>
  <c r="N31" i="88"/>
  <c r="L31" i="88"/>
  <c r="F31" i="88"/>
  <c r="B31" i="88"/>
  <c r="X30" i="88"/>
  <c r="Z30" i="88" s="1"/>
  <c r="N30" i="88"/>
  <c r="L30" i="88"/>
  <c r="B30" i="88"/>
  <c r="X29" i="88"/>
  <c r="Z29" i="88" s="1"/>
  <c r="N29" i="88"/>
  <c r="L29" i="88"/>
  <c r="B29" i="88"/>
  <c r="X28" i="88"/>
  <c r="Z28" i="88" s="1"/>
  <c r="V28" i="88"/>
  <c r="N28" i="88"/>
  <c r="L28" i="88"/>
  <c r="B28" i="88"/>
  <c r="X27" i="88"/>
  <c r="Z27" i="88" s="1"/>
  <c r="V27" i="88"/>
  <c r="N27" i="88"/>
  <c r="L27" i="88"/>
  <c r="B27" i="88"/>
  <c r="X26" i="88"/>
  <c r="Z26" i="88" s="1"/>
  <c r="V26" i="88"/>
  <c r="T26" i="88"/>
  <c r="P26" i="88"/>
  <c r="H26" i="88"/>
  <c r="D26" i="88"/>
  <c r="L26" i="88" s="1"/>
  <c r="B26" i="88"/>
  <c r="T25" i="88"/>
  <c r="P25" i="88"/>
  <c r="X25" i="88" s="1"/>
  <c r="H25" i="88"/>
  <c r="D25" i="88"/>
  <c r="Z21" i="88"/>
  <c r="X21" i="88"/>
  <c r="V21" i="88"/>
  <c r="N21" i="88"/>
  <c r="L21" i="88"/>
  <c r="B21" i="88"/>
  <c r="Z20" i="88"/>
  <c r="X20" i="88"/>
  <c r="V20" i="88"/>
  <c r="N20" i="88"/>
  <c r="L20" i="88"/>
  <c r="B20" i="88"/>
  <c r="Z19" i="88"/>
  <c r="X19" i="88"/>
  <c r="V19" i="88"/>
  <c r="N19" i="88"/>
  <c r="L19" i="88"/>
  <c r="B19" i="88"/>
  <c r="X18" i="88"/>
  <c r="Z18" i="88" s="1"/>
  <c r="V18" i="88"/>
  <c r="T18" i="88"/>
  <c r="P18" i="88"/>
  <c r="H18" i="88"/>
  <c r="D18" i="88"/>
  <c r="L18" i="88" s="1"/>
  <c r="N18" i="88" s="1"/>
  <c r="Z16" i="88"/>
  <c r="P16" i="88"/>
  <c r="X16" i="88" s="1"/>
  <c r="N16" i="88"/>
  <c r="L16" i="88"/>
  <c r="D16" i="88"/>
  <c r="B16" i="88"/>
  <c r="Z15" i="88"/>
  <c r="P15" i="88"/>
  <c r="X15" i="88" s="1"/>
  <c r="N15" i="88"/>
  <c r="L15" i="88"/>
  <c r="D15" i="88"/>
  <c r="B15" i="88"/>
  <c r="X14" i="88"/>
  <c r="Z14" i="88" s="1"/>
  <c r="P14" i="88"/>
  <c r="P12" i="88" s="1"/>
  <c r="R19" i="88" s="1"/>
  <c r="D14" i="88"/>
  <c r="L14" i="88" s="1"/>
  <c r="N14" i="88" s="1"/>
  <c r="B14" i="88"/>
  <c r="Z13" i="88"/>
  <c r="P13" i="88"/>
  <c r="X13" i="88" s="1"/>
  <c r="N13" i="88"/>
  <c r="D13" i="88"/>
  <c r="L13" i="88" s="1"/>
  <c r="B13" i="88"/>
  <c r="T12" i="88"/>
  <c r="H12" i="88"/>
  <c r="H23" i="88" s="1"/>
  <c r="H88" i="88" s="1"/>
  <c r="D12" i="88"/>
  <c r="D6" i="88"/>
  <c r="D4" i="88"/>
  <c r="X87" i="87"/>
  <c r="Z87" i="87" s="1"/>
  <c r="L87" i="87"/>
  <c r="N87" i="87" s="1"/>
  <c r="T83" i="87"/>
  <c r="Z83" i="87" s="1"/>
  <c r="P83" i="87"/>
  <c r="X83" i="87" s="1"/>
  <c r="N83" i="87"/>
  <c r="H83" i="87"/>
  <c r="D83" i="87"/>
  <c r="L83" i="87" s="1"/>
  <c r="X81" i="87"/>
  <c r="Z81" i="87" s="1"/>
  <c r="L81" i="87"/>
  <c r="N81" i="87" s="1"/>
  <c r="B81" i="87"/>
  <c r="X80" i="87"/>
  <c r="Z80" i="87" s="1"/>
  <c r="T80" i="87"/>
  <c r="P80" i="87"/>
  <c r="H80" i="87"/>
  <c r="D80" i="87"/>
  <c r="L80" i="87" s="1"/>
  <c r="B80" i="87"/>
  <c r="X79" i="87"/>
  <c r="Z79" i="87" s="1"/>
  <c r="N79" i="87"/>
  <c r="L79" i="87"/>
  <c r="B79" i="87"/>
  <c r="Z78" i="87"/>
  <c r="X78" i="87"/>
  <c r="L78" i="87"/>
  <c r="N78" i="87" s="1"/>
  <c r="B78" i="87"/>
  <c r="X77" i="87"/>
  <c r="Z77" i="87" s="1"/>
  <c r="L77" i="87"/>
  <c r="N77" i="87" s="1"/>
  <c r="B77" i="87"/>
  <c r="X76" i="87"/>
  <c r="Z76" i="87" s="1"/>
  <c r="N76" i="87"/>
  <c r="L76" i="87"/>
  <c r="B76" i="87"/>
  <c r="Z75" i="87"/>
  <c r="X75" i="87"/>
  <c r="L75" i="87"/>
  <c r="N75" i="87" s="1"/>
  <c r="B75" i="87"/>
  <c r="X74" i="87"/>
  <c r="Z74" i="87" s="1"/>
  <c r="N74" i="87"/>
  <c r="L74" i="87"/>
  <c r="B74" i="87"/>
  <c r="T73" i="87"/>
  <c r="P73" i="87"/>
  <c r="X73" i="87" s="1"/>
  <c r="H73" i="87"/>
  <c r="D73" i="87"/>
  <c r="L73" i="87" s="1"/>
  <c r="N73" i="87" s="1"/>
  <c r="B73" i="87"/>
  <c r="X72" i="87"/>
  <c r="Z72" i="87" s="1"/>
  <c r="N72" i="87"/>
  <c r="L72" i="87"/>
  <c r="B72" i="87"/>
  <c r="Z71" i="87"/>
  <c r="X71" i="87"/>
  <c r="L71" i="87"/>
  <c r="N71" i="87" s="1"/>
  <c r="B71" i="87"/>
  <c r="X70" i="87"/>
  <c r="Z70" i="87" s="1"/>
  <c r="N70" i="87"/>
  <c r="L70" i="87"/>
  <c r="J70" i="87"/>
  <c r="B70" i="87"/>
  <c r="X69" i="87"/>
  <c r="Z69" i="87" s="1"/>
  <c r="L69" i="87"/>
  <c r="N69" i="87" s="1"/>
  <c r="B69" i="87"/>
  <c r="T68" i="87"/>
  <c r="P68" i="87"/>
  <c r="X68" i="87" s="1"/>
  <c r="Z68" i="87" s="1"/>
  <c r="L68" i="87"/>
  <c r="H68" i="87"/>
  <c r="N68" i="87" s="1"/>
  <c r="D68" i="87"/>
  <c r="B68" i="87"/>
  <c r="Z67" i="87"/>
  <c r="X67" i="87"/>
  <c r="L67" i="87"/>
  <c r="N67" i="87" s="1"/>
  <c r="F67" i="87"/>
  <c r="B67" i="87"/>
  <c r="X66" i="87"/>
  <c r="Z66" i="87" s="1"/>
  <c r="N66" i="87"/>
  <c r="L66" i="87"/>
  <c r="B66" i="87"/>
  <c r="Z65" i="87"/>
  <c r="X65" i="87"/>
  <c r="N65" i="87"/>
  <c r="L65" i="87"/>
  <c r="B65" i="87"/>
  <c r="T64" i="87"/>
  <c r="P64" i="87"/>
  <c r="X64" i="87" s="1"/>
  <c r="Z64" i="87" s="1"/>
  <c r="L64" i="87"/>
  <c r="H64" i="87"/>
  <c r="N64" i="87" s="1"/>
  <c r="D64" i="87"/>
  <c r="B64" i="87"/>
  <c r="Z63" i="87"/>
  <c r="X63" i="87"/>
  <c r="L63" i="87"/>
  <c r="N63" i="87" s="1"/>
  <c r="B63" i="87"/>
  <c r="X62" i="87"/>
  <c r="T62" i="87"/>
  <c r="Z62" i="87" s="1"/>
  <c r="P62" i="87"/>
  <c r="L62" i="87"/>
  <c r="N62" i="87" s="1"/>
  <c r="H62" i="87"/>
  <c r="D62" i="87"/>
  <c r="B62" i="87"/>
  <c r="X61" i="87"/>
  <c r="Z61" i="87" s="1"/>
  <c r="N61" i="87"/>
  <c r="L61" i="87"/>
  <c r="B61" i="87"/>
  <c r="X60" i="87"/>
  <c r="Z60" i="87" s="1"/>
  <c r="T60" i="87"/>
  <c r="P60" i="87"/>
  <c r="H60" i="87"/>
  <c r="D60" i="87"/>
  <c r="L60" i="87" s="1"/>
  <c r="B60" i="87"/>
  <c r="X59" i="87"/>
  <c r="Z59" i="87" s="1"/>
  <c r="R59" i="87"/>
  <c r="N59" i="87"/>
  <c r="L59" i="87"/>
  <c r="B59" i="87"/>
  <c r="T58" i="87"/>
  <c r="P58" i="87"/>
  <c r="H58" i="87"/>
  <c r="D58" i="87"/>
  <c r="L58" i="87" s="1"/>
  <c r="N58" i="87" s="1"/>
  <c r="B58" i="87"/>
  <c r="X57" i="87"/>
  <c r="Z57" i="87" s="1"/>
  <c r="L57" i="87"/>
  <c r="N57" i="87" s="1"/>
  <c r="B57" i="87"/>
  <c r="T56" i="87"/>
  <c r="R56" i="87"/>
  <c r="P56" i="87"/>
  <c r="X56" i="87" s="1"/>
  <c r="Z56" i="87" s="1"/>
  <c r="L56" i="87"/>
  <c r="H56" i="87"/>
  <c r="N56" i="87" s="1"/>
  <c r="D56" i="87"/>
  <c r="B56" i="87"/>
  <c r="Z55" i="87"/>
  <c r="X55" i="87"/>
  <c r="N55" i="87"/>
  <c r="L55" i="87"/>
  <c r="B55" i="87"/>
  <c r="X54" i="87"/>
  <c r="T54" i="87"/>
  <c r="Z54" i="87" s="1"/>
  <c r="P54" i="87"/>
  <c r="N54" i="87"/>
  <c r="L54" i="87"/>
  <c r="H54" i="87"/>
  <c r="D54" i="87"/>
  <c r="B54" i="87"/>
  <c r="X53" i="87"/>
  <c r="Z53" i="87" s="1"/>
  <c r="N53" i="87"/>
  <c r="L53" i="87"/>
  <c r="B53" i="87"/>
  <c r="X52" i="87"/>
  <c r="Z52" i="87" s="1"/>
  <c r="T52" i="87"/>
  <c r="P52" i="87"/>
  <c r="H52" i="87"/>
  <c r="D52" i="87"/>
  <c r="L52" i="87" s="1"/>
  <c r="B52" i="87"/>
  <c r="X51" i="87"/>
  <c r="Z51" i="87" s="1"/>
  <c r="N51" i="87"/>
  <c r="L51" i="87"/>
  <c r="B51" i="87"/>
  <c r="T50" i="87"/>
  <c r="P50" i="87"/>
  <c r="H50" i="87"/>
  <c r="D50" i="87"/>
  <c r="L50" i="87" s="1"/>
  <c r="B50" i="87"/>
  <c r="Z49" i="87"/>
  <c r="X49" i="87"/>
  <c r="L49" i="87"/>
  <c r="N49" i="87" s="1"/>
  <c r="J49" i="87"/>
  <c r="B49" i="87"/>
  <c r="T48" i="87"/>
  <c r="Z48" i="87" s="1"/>
  <c r="P48" i="87"/>
  <c r="X48" i="87" s="1"/>
  <c r="L48" i="87"/>
  <c r="H48" i="87"/>
  <c r="N48" i="87" s="1"/>
  <c r="D48" i="87"/>
  <c r="B48" i="87"/>
  <c r="Z47" i="87"/>
  <c r="X47" i="87"/>
  <c r="N47" i="87"/>
  <c r="L47" i="87"/>
  <c r="B47" i="87"/>
  <c r="Z46" i="87"/>
  <c r="X46" i="87"/>
  <c r="N46" i="87"/>
  <c r="L46" i="87"/>
  <c r="B46" i="87"/>
  <c r="Z45" i="87"/>
  <c r="X45" i="87"/>
  <c r="L45" i="87"/>
  <c r="N45" i="87" s="1"/>
  <c r="B45" i="87"/>
  <c r="Z44" i="87"/>
  <c r="X44" i="87"/>
  <c r="N44" i="87"/>
  <c r="L44" i="87"/>
  <c r="B44" i="87"/>
  <c r="Z43" i="87"/>
  <c r="X43" i="87"/>
  <c r="N43" i="87"/>
  <c r="L43" i="87"/>
  <c r="B43" i="87"/>
  <c r="Z42" i="87"/>
  <c r="X42" i="87"/>
  <c r="V42" i="87"/>
  <c r="N42" i="87"/>
  <c r="L42" i="87"/>
  <c r="B42" i="87"/>
  <c r="X41" i="87"/>
  <c r="Z41" i="87" s="1"/>
  <c r="N41" i="87"/>
  <c r="L41" i="87"/>
  <c r="B41" i="87"/>
  <c r="Z40" i="87"/>
  <c r="X40" i="87"/>
  <c r="N40" i="87"/>
  <c r="L40" i="87"/>
  <c r="B40" i="87"/>
  <c r="Z39" i="87"/>
  <c r="X39" i="87"/>
  <c r="L39" i="87"/>
  <c r="N39" i="87" s="1"/>
  <c r="B39" i="87"/>
  <c r="Z38" i="87"/>
  <c r="X38" i="87"/>
  <c r="N38" i="87"/>
  <c r="L38" i="87"/>
  <c r="J38" i="87"/>
  <c r="B38" i="87"/>
  <c r="Z37" i="87"/>
  <c r="T37" i="87"/>
  <c r="P37" i="87"/>
  <c r="X37" i="87" s="1"/>
  <c r="N37" i="87"/>
  <c r="J37" i="87"/>
  <c r="H37" i="87"/>
  <c r="D37" i="87"/>
  <c r="L37" i="87" s="1"/>
  <c r="B37" i="87"/>
  <c r="Z36" i="87"/>
  <c r="X36" i="87"/>
  <c r="N36" i="87"/>
  <c r="L36" i="87"/>
  <c r="J36" i="87"/>
  <c r="B36" i="87"/>
  <c r="Z35" i="87"/>
  <c r="X35" i="87"/>
  <c r="L35" i="87"/>
  <c r="N35" i="87" s="1"/>
  <c r="B35" i="87"/>
  <c r="X34" i="87"/>
  <c r="Z34" i="87" s="1"/>
  <c r="N34" i="87"/>
  <c r="L34" i="87"/>
  <c r="B34" i="87"/>
  <c r="Z33" i="87"/>
  <c r="X33" i="87"/>
  <c r="N33" i="87"/>
  <c r="L33" i="87"/>
  <c r="B33" i="87"/>
  <c r="Z32" i="87"/>
  <c r="X32" i="87"/>
  <c r="N32" i="87"/>
  <c r="L32" i="87"/>
  <c r="B32" i="87"/>
  <c r="Z31" i="87"/>
  <c r="X31" i="87"/>
  <c r="N31" i="87"/>
  <c r="L31" i="87"/>
  <c r="F31" i="87"/>
  <c r="B31" i="87"/>
  <c r="X30" i="87"/>
  <c r="Z30" i="87" s="1"/>
  <c r="L30" i="87"/>
  <c r="N30" i="87" s="1"/>
  <c r="B30" i="87"/>
  <c r="X29" i="87"/>
  <c r="Z29" i="87" s="1"/>
  <c r="L29" i="87"/>
  <c r="N29" i="87" s="1"/>
  <c r="F29" i="87"/>
  <c r="B29" i="87"/>
  <c r="X28" i="87"/>
  <c r="Z28" i="87" s="1"/>
  <c r="L28" i="87"/>
  <c r="N28" i="87" s="1"/>
  <c r="B28" i="87"/>
  <c r="Z27" i="87"/>
  <c r="X27" i="87"/>
  <c r="N27" i="87"/>
  <c r="L27" i="87"/>
  <c r="J27" i="87"/>
  <c r="B27" i="87"/>
  <c r="T26" i="87"/>
  <c r="P26" i="87"/>
  <c r="X26" i="87" s="1"/>
  <c r="L26" i="87"/>
  <c r="N26" i="87" s="1"/>
  <c r="H26" i="87"/>
  <c r="D26" i="87"/>
  <c r="B26" i="87"/>
  <c r="T25" i="87"/>
  <c r="P25" i="87"/>
  <c r="H25" i="87"/>
  <c r="F25" i="87"/>
  <c r="D25" i="87"/>
  <c r="L25" i="87" s="1"/>
  <c r="Z21" i="87"/>
  <c r="X21" i="87"/>
  <c r="V21" i="87"/>
  <c r="R21" i="87"/>
  <c r="N21" i="87"/>
  <c r="L21" i="87"/>
  <c r="B21" i="87"/>
  <c r="Z20" i="87"/>
  <c r="X20" i="87"/>
  <c r="V20" i="87"/>
  <c r="N20" i="87"/>
  <c r="L20" i="87"/>
  <c r="B20" i="87"/>
  <c r="Z19" i="87"/>
  <c r="X19" i="87"/>
  <c r="N19" i="87"/>
  <c r="L19" i="87"/>
  <c r="B19" i="87"/>
  <c r="T18" i="87"/>
  <c r="P18" i="87"/>
  <c r="X18" i="87" s="1"/>
  <c r="Z18" i="87" s="1"/>
  <c r="L18" i="87"/>
  <c r="N18" i="87" s="1"/>
  <c r="J18" i="87"/>
  <c r="H18" i="87"/>
  <c r="D18" i="87"/>
  <c r="Z16" i="87"/>
  <c r="P16" i="87"/>
  <c r="X16" i="87" s="1"/>
  <c r="N16" i="87"/>
  <c r="L16" i="87"/>
  <c r="D16" i="87"/>
  <c r="B16" i="87"/>
  <c r="Z15" i="87"/>
  <c r="P15" i="87"/>
  <c r="X15" i="87" s="1"/>
  <c r="N15" i="87"/>
  <c r="D15" i="87"/>
  <c r="L15" i="87" s="1"/>
  <c r="B15" i="87"/>
  <c r="X14" i="87"/>
  <c r="Z14" i="87" s="1"/>
  <c r="P14" i="87"/>
  <c r="D14" i="87"/>
  <c r="L14" i="87" s="1"/>
  <c r="N14" i="87" s="1"/>
  <c r="B14" i="87"/>
  <c r="Z13" i="87"/>
  <c r="P13" i="87"/>
  <c r="X13" i="87" s="1"/>
  <c r="N13" i="87"/>
  <c r="D13" i="87"/>
  <c r="L13" i="87" s="1"/>
  <c r="B13" i="87"/>
  <c r="T12" i="87"/>
  <c r="V61" i="87" s="1"/>
  <c r="P12" i="87"/>
  <c r="R30" i="87" s="1"/>
  <c r="H12" i="87"/>
  <c r="D12" i="87"/>
  <c r="D6" i="87"/>
  <c r="D4" i="87"/>
  <c r="V61" i="86"/>
  <c r="Z59" i="86"/>
  <c r="X59" i="86"/>
  <c r="N59" i="86"/>
  <c r="L59" i="86"/>
  <c r="P57" i="86"/>
  <c r="Z55" i="86"/>
  <c r="X55" i="86"/>
  <c r="V55" i="86"/>
  <c r="T55" i="86"/>
  <c r="P55" i="86"/>
  <c r="H55" i="86"/>
  <c r="D55" i="86"/>
  <c r="Z53" i="86"/>
  <c r="X53" i="86"/>
  <c r="N53" i="86"/>
  <c r="L53" i="86"/>
  <c r="B53" i="86"/>
  <c r="T52" i="86"/>
  <c r="Z52" i="86" s="1"/>
  <c r="R52" i="86"/>
  <c r="P52" i="86"/>
  <c r="X52" i="86" s="1"/>
  <c r="H52" i="86"/>
  <c r="N52" i="86" s="1"/>
  <c r="D52" i="86"/>
  <c r="L52" i="86" s="1"/>
  <c r="B52" i="86"/>
  <c r="Z51" i="86"/>
  <c r="X51" i="86"/>
  <c r="L51" i="86"/>
  <c r="N51" i="86" s="1"/>
  <c r="F51" i="86"/>
  <c r="B51" i="86"/>
  <c r="T50" i="86"/>
  <c r="P50" i="86"/>
  <c r="X50" i="86" s="1"/>
  <c r="N50" i="86"/>
  <c r="L50" i="86"/>
  <c r="H50" i="86"/>
  <c r="D50" i="86"/>
  <c r="B50" i="86"/>
  <c r="X49" i="86"/>
  <c r="Z49" i="86" s="1"/>
  <c r="V49" i="86"/>
  <c r="L49" i="86"/>
  <c r="N49" i="86" s="1"/>
  <c r="B49" i="86"/>
  <c r="Z48" i="86"/>
  <c r="X48" i="86"/>
  <c r="N48" i="86"/>
  <c r="L48" i="86"/>
  <c r="B48" i="86"/>
  <c r="T47" i="86"/>
  <c r="P47" i="86"/>
  <c r="X47" i="86" s="1"/>
  <c r="Z47" i="86" s="1"/>
  <c r="L47" i="86"/>
  <c r="N47" i="86" s="1"/>
  <c r="H47" i="86"/>
  <c r="D47" i="86"/>
  <c r="B47" i="86"/>
  <c r="Z46" i="86"/>
  <c r="X46" i="86"/>
  <c r="V46" i="86"/>
  <c r="R46" i="86"/>
  <c r="N46" i="86"/>
  <c r="L46" i="86"/>
  <c r="B46" i="86"/>
  <c r="X45" i="86"/>
  <c r="Z45" i="86" s="1"/>
  <c r="V45" i="86"/>
  <c r="L45" i="86"/>
  <c r="N45" i="86" s="1"/>
  <c r="B45" i="86"/>
  <c r="Z44" i="86"/>
  <c r="X44" i="86"/>
  <c r="T44" i="86"/>
  <c r="P44" i="86"/>
  <c r="J44" i="86"/>
  <c r="H44" i="86"/>
  <c r="D44" i="86"/>
  <c r="B44" i="86"/>
  <c r="X43" i="86"/>
  <c r="Z43" i="86" s="1"/>
  <c r="R43" i="86"/>
  <c r="N43" i="86"/>
  <c r="L43" i="86"/>
  <c r="B43" i="86"/>
  <c r="V42" i="86"/>
  <c r="T42" i="86"/>
  <c r="P42" i="86"/>
  <c r="H42" i="86"/>
  <c r="D42" i="86"/>
  <c r="L42" i="86" s="1"/>
  <c r="B42" i="86"/>
  <c r="X41" i="86"/>
  <c r="Z41" i="86" s="1"/>
  <c r="L41" i="86"/>
  <c r="N41" i="86" s="1"/>
  <c r="J41" i="86"/>
  <c r="B41" i="86"/>
  <c r="T40" i="86"/>
  <c r="R40" i="86"/>
  <c r="P40" i="86"/>
  <c r="X40" i="86" s="1"/>
  <c r="H40" i="86"/>
  <c r="D40" i="86"/>
  <c r="L40" i="86" s="1"/>
  <c r="B40" i="86"/>
  <c r="Z39" i="86"/>
  <c r="X39" i="86"/>
  <c r="N39" i="86"/>
  <c r="L39" i="86"/>
  <c r="F39" i="86"/>
  <c r="B39" i="86"/>
  <c r="Z38" i="86"/>
  <c r="X38" i="86"/>
  <c r="N38" i="86"/>
  <c r="L38" i="86"/>
  <c r="B38" i="86"/>
  <c r="Z37" i="86"/>
  <c r="X37" i="86"/>
  <c r="N37" i="86"/>
  <c r="L37" i="86"/>
  <c r="J37" i="86"/>
  <c r="B37" i="86"/>
  <c r="Z36" i="86"/>
  <c r="X36" i="86"/>
  <c r="N36" i="86"/>
  <c r="L36" i="86"/>
  <c r="B36" i="86"/>
  <c r="Z35" i="86"/>
  <c r="X35" i="86"/>
  <c r="R35" i="86"/>
  <c r="N35" i="86"/>
  <c r="L35" i="86"/>
  <c r="B35" i="86"/>
  <c r="Z34" i="86"/>
  <c r="X34" i="86"/>
  <c r="V34" i="86"/>
  <c r="R34" i="86"/>
  <c r="N34" i="86"/>
  <c r="L34" i="86"/>
  <c r="B34" i="86"/>
  <c r="Z33" i="86"/>
  <c r="X33" i="86"/>
  <c r="V33" i="86"/>
  <c r="N33" i="86"/>
  <c r="L33" i="86"/>
  <c r="B33" i="86"/>
  <c r="Z32" i="86"/>
  <c r="X32" i="86"/>
  <c r="N32" i="86"/>
  <c r="L32" i="86"/>
  <c r="B32" i="86"/>
  <c r="Z31" i="86"/>
  <c r="X31" i="86"/>
  <c r="L31" i="86"/>
  <c r="N31" i="86" s="1"/>
  <c r="B31" i="86"/>
  <c r="Z30" i="86"/>
  <c r="X30" i="86"/>
  <c r="N30" i="86"/>
  <c r="L30" i="86"/>
  <c r="J30" i="86"/>
  <c r="B30" i="86"/>
  <c r="T29" i="86"/>
  <c r="P29" i="86"/>
  <c r="X29" i="86" s="1"/>
  <c r="Z29" i="86" s="1"/>
  <c r="H29" i="86"/>
  <c r="D29" i="86"/>
  <c r="L29" i="86" s="1"/>
  <c r="N29" i="86" s="1"/>
  <c r="B29" i="86"/>
  <c r="Z28" i="86"/>
  <c r="X28" i="86"/>
  <c r="N28" i="86"/>
  <c r="L28" i="86"/>
  <c r="B28" i="86"/>
  <c r="Z27" i="86"/>
  <c r="X27" i="86"/>
  <c r="L27" i="86"/>
  <c r="N27" i="86" s="1"/>
  <c r="B27" i="86"/>
  <c r="X26" i="86"/>
  <c r="Z26" i="86" s="1"/>
  <c r="L26" i="86"/>
  <c r="N26" i="86" s="1"/>
  <c r="J26" i="86"/>
  <c r="F26" i="86"/>
  <c r="B26" i="86"/>
  <c r="Z25" i="86"/>
  <c r="X25" i="86"/>
  <c r="N25" i="86"/>
  <c r="L25" i="86"/>
  <c r="J25" i="86"/>
  <c r="B25" i="86"/>
  <c r="Z24" i="86"/>
  <c r="X24" i="86"/>
  <c r="N24" i="86"/>
  <c r="L24" i="86"/>
  <c r="B24" i="86"/>
  <c r="X23" i="86"/>
  <c r="Z23" i="86" s="1"/>
  <c r="R23" i="86"/>
  <c r="N23" i="86"/>
  <c r="L23" i="86"/>
  <c r="B23" i="86"/>
  <c r="X22" i="86"/>
  <c r="Z22" i="86" s="1"/>
  <c r="V22" i="86"/>
  <c r="R22" i="86"/>
  <c r="L22" i="86"/>
  <c r="N22" i="86" s="1"/>
  <c r="B22" i="86"/>
  <c r="X21" i="86"/>
  <c r="Z21" i="86" s="1"/>
  <c r="V21" i="86"/>
  <c r="L21" i="86"/>
  <c r="N21" i="86" s="1"/>
  <c r="B21" i="86"/>
  <c r="X20" i="86"/>
  <c r="Z20" i="86" s="1"/>
  <c r="N20" i="86"/>
  <c r="L20" i="86"/>
  <c r="B20" i="86"/>
  <c r="T19" i="86"/>
  <c r="P19" i="86"/>
  <c r="X19" i="86" s="1"/>
  <c r="Z19" i="86" s="1"/>
  <c r="L19" i="86"/>
  <c r="N19" i="86" s="1"/>
  <c r="H19" i="86"/>
  <c r="D19" i="86"/>
  <c r="B19" i="86"/>
  <c r="V18" i="86"/>
  <c r="T18" i="86"/>
  <c r="P18" i="86"/>
  <c r="H18" i="86"/>
  <c r="D18" i="86"/>
  <c r="L18" i="86" s="1"/>
  <c r="R16" i="86"/>
  <c r="P16" i="86"/>
  <c r="V14" i="86"/>
  <c r="T14" i="86"/>
  <c r="P14" i="86"/>
  <c r="H14" i="86"/>
  <c r="N14" i="86" s="1"/>
  <c r="F14" i="86"/>
  <c r="D14" i="86"/>
  <c r="L14" i="86" s="1"/>
  <c r="X12" i="86"/>
  <c r="T12" i="86"/>
  <c r="V48" i="86" s="1"/>
  <c r="P12" i="86"/>
  <c r="R49" i="86" s="1"/>
  <c r="H12" i="86"/>
  <c r="J59" i="86" s="1"/>
  <c r="D12" i="86"/>
  <c r="F55" i="86" s="1"/>
  <c r="D6" i="86"/>
  <c r="D4" i="86"/>
  <c r="R34" i="85"/>
  <c r="J31" i="85"/>
  <c r="Z29" i="85"/>
  <c r="X29" i="85"/>
  <c r="N29" i="85"/>
  <c r="L29" i="85"/>
  <c r="R27" i="85"/>
  <c r="Z25" i="85"/>
  <c r="X25" i="85"/>
  <c r="T25" i="85"/>
  <c r="P25" i="85"/>
  <c r="J25" i="85"/>
  <c r="H25" i="85"/>
  <c r="N25" i="85" s="1"/>
  <c r="D25" i="85"/>
  <c r="L25" i="85" s="1"/>
  <c r="Z23" i="85"/>
  <c r="X23" i="85"/>
  <c r="N23" i="85"/>
  <c r="L23" i="85"/>
  <c r="B23" i="85"/>
  <c r="T22" i="85"/>
  <c r="R22" i="85"/>
  <c r="P22" i="85"/>
  <c r="N22" i="85"/>
  <c r="H22" i="85"/>
  <c r="D22" i="85"/>
  <c r="L22" i="85" s="1"/>
  <c r="B22" i="85"/>
  <c r="X21" i="85"/>
  <c r="Z21" i="85" s="1"/>
  <c r="L21" i="85"/>
  <c r="N21" i="85" s="1"/>
  <c r="J21" i="85"/>
  <c r="F21" i="85"/>
  <c r="B21" i="85"/>
  <c r="T20" i="85"/>
  <c r="P20" i="85"/>
  <c r="X20" i="85" s="1"/>
  <c r="Z20" i="85" s="1"/>
  <c r="N20" i="85"/>
  <c r="H20" i="85"/>
  <c r="D20" i="85"/>
  <c r="L20" i="85" s="1"/>
  <c r="B20" i="85"/>
  <c r="Z19" i="85"/>
  <c r="X19" i="85"/>
  <c r="T19" i="85"/>
  <c r="P19" i="85"/>
  <c r="J19" i="85"/>
  <c r="H19" i="85"/>
  <c r="D19" i="85"/>
  <c r="L19" i="85" s="1"/>
  <c r="R17" i="85"/>
  <c r="P17" i="85"/>
  <c r="P27" i="85" s="1"/>
  <c r="D17" i="85"/>
  <c r="D27" i="85" s="1"/>
  <c r="Z15" i="85"/>
  <c r="X15" i="85"/>
  <c r="N15" i="85"/>
  <c r="L15" i="85"/>
  <c r="F15" i="85"/>
  <c r="B15" i="85"/>
  <c r="Z14" i="85"/>
  <c r="V14" i="85"/>
  <c r="T14" i="85"/>
  <c r="P14" i="85"/>
  <c r="X14" i="85" s="1"/>
  <c r="N14" i="85"/>
  <c r="L14" i="85"/>
  <c r="J14" i="85"/>
  <c r="H14" i="85"/>
  <c r="F14" i="85"/>
  <c r="D14" i="85"/>
  <c r="T12" i="85"/>
  <c r="V31" i="85" s="1"/>
  <c r="P12" i="85"/>
  <c r="N12" i="85"/>
  <c r="H12" i="85"/>
  <c r="J29" i="85" s="1"/>
  <c r="D12" i="85"/>
  <c r="F31" i="85" s="1"/>
  <c r="D6" i="85"/>
  <c r="D4" i="85"/>
  <c r="F33" i="84"/>
  <c r="Z28" i="84"/>
  <c r="X28" i="84"/>
  <c r="V28" i="84"/>
  <c r="N28" i="84"/>
  <c r="L28" i="84"/>
  <c r="F26" i="84"/>
  <c r="Z24" i="84"/>
  <c r="T24" i="84"/>
  <c r="P24" i="84"/>
  <c r="X24" i="84" s="1"/>
  <c r="N24" i="84"/>
  <c r="H24" i="84"/>
  <c r="D24" i="84"/>
  <c r="L24" i="84" s="1"/>
  <c r="Z22" i="84"/>
  <c r="X22" i="84"/>
  <c r="V22" i="84"/>
  <c r="N22" i="84"/>
  <c r="L22" i="84"/>
  <c r="B22" i="84"/>
  <c r="Z21" i="84"/>
  <c r="X21" i="84"/>
  <c r="T21" i="84"/>
  <c r="P21" i="84"/>
  <c r="J21" i="84"/>
  <c r="H21" i="84"/>
  <c r="N21" i="84" s="1"/>
  <c r="D21" i="84"/>
  <c r="B21" i="84"/>
  <c r="X20" i="84"/>
  <c r="Z20" i="84" s="1"/>
  <c r="R20" i="84"/>
  <c r="N20" i="84"/>
  <c r="L20" i="84"/>
  <c r="J20" i="84"/>
  <c r="B20" i="84"/>
  <c r="T19" i="84"/>
  <c r="P19" i="84"/>
  <c r="X19" i="84" s="1"/>
  <c r="H19" i="84"/>
  <c r="N19" i="84" s="1"/>
  <c r="F19" i="84"/>
  <c r="D19" i="84"/>
  <c r="L19" i="84" s="1"/>
  <c r="B19" i="84"/>
  <c r="T18" i="84"/>
  <c r="R18" i="84"/>
  <c r="P18" i="84"/>
  <c r="X18" i="84" s="1"/>
  <c r="Z18" i="84" s="1"/>
  <c r="N18" i="84"/>
  <c r="J18" i="84"/>
  <c r="H18" i="84"/>
  <c r="D18" i="84"/>
  <c r="L18" i="84" s="1"/>
  <c r="V16" i="84"/>
  <c r="R16" i="84"/>
  <c r="J16" i="84"/>
  <c r="H16" i="84"/>
  <c r="N16" i="84" s="1"/>
  <c r="F16" i="84"/>
  <c r="T14" i="84"/>
  <c r="Z14" i="84" s="1"/>
  <c r="R14" i="84"/>
  <c r="P14" i="84"/>
  <c r="N14" i="84"/>
  <c r="J14" i="84"/>
  <c r="H14" i="84"/>
  <c r="D14" i="84"/>
  <c r="L14" i="84" s="1"/>
  <c r="T12" i="84"/>
  <c r="P12" i="84"/>
  <c r="R28" i="84" s="1"/>
  <c r="N12" i="84"/>
  <c r="H12" i="84"/>
  <c r="J30" i="84" s="1"/>
  <c r="D12" i="84"/>
  <c r="D6" i="84"/>
  <c r="D4" i="84"/>
  <c r="J57" i="83"/>
  <c r="Z52" i="83"/>
  <c r="X52" i="83"/>
  <c r="N52" i="83"/>
  <c r="L52" i="83"/>
  <c r="J50" i="83"/>
  <c r="F50" i="83"/>
  <c r="T48" i="83"/>
  <c r="Z48" i="83" s="1"/>
  <c r="P48" i="83"/>
  <c r="N48" i="83"/>
  <c r="H48" i="83"/>
  <c r="F48" i="83"/>
  <c r="D48" i="83"/>
  <c r="L48" i="83" s="1"/>
  <c r="Z46" i="83"/>
  <c r="X46" i="83"/>
  <c r="N46" i="83"/>
  <c r="L46" i="83"/>
  <c r="J46" i="83"/>
  <c r="F46" i="83"/>
  <c r="B46" i="83"/>
  <c r="T45" i="83"/>
  <c r="Z45" i="83" s="1"/>
  <c r="P45" i="83"/>
  <c r="X45" i="83" s="1"/>
  <c r="N45" i="83"/>
  <c r="L45" i="83"/>
  <c r="H45" i="83"/>
  <c r="D45" i="83"/>
  <c r="B45" i="83"/>
  <c r="Z44" i="83"/>
  <c r="X44" i="83"/>
  <c r="N44" i="83"/>
  <c r="L44" i="83"/>
  <c r="B44" i="83"/>
  <c r="T43" i="83"/>
  <c r="P43" i="83"/>
  <c r="N43" i="83"/>
  <c r="H43" i="83"/>
  <c r="F43" i="83"/>
  <c r="D43" i="83"/>
  <c r="L43" i="83" s="1"/>
  <c r="B43" i="83"/>
  <c r="Z42" i="83"/>
  <c r="X42" i="83"/>
  <c r="N42" i="83"/>
  <c r="L42" i="83"/>
  <c r="J42" i="83"/>
  <c r="B42" i="83"/>
  <c r="Z41" i="83"/>
  <c r="T41" i="83"/>
  <c r="R41" i="83"/>
  <c r="P41" i="83"/>
  <c r="X41" i="83" s="1"/>
  <c r="H41" i="83"/>
  <c r="N41" i="83" s="1"/>
  <c r="D41" i="83"/>
  <c r="L41" i="83" s="1"/>
  <c r="B41" i="83"/>
  <c r="Z40" i="83"/>
  <c r="X40" i="83"/>
  <c r="R40" i="83"/>
  <c r="N40" i="83"/>
  <c r="L40" i="83"/>
  <c r="F40" i="83"/>
  <c r="B40" i="83"/>
  <c r="T39" i="83"/>
  <c r="Z39" i="83" s="1"/>
  <c r="P39" i="83"/>
  <c r="X39" i="83" s="1"/>
  <c r="N39" i="83"/>
  <c r="L39" i="83"/>
  <c r="H39" i="83"/>
  <c r="D39" i="83"/>
  <c r="B39" i="83"/>
  <c r="Z38" i="83"/>
  <c r="X38" i="83"/>
  <c r="N38" i="83"/>
  <c r="L38" i="83"/>
  <c r="B38" i="83"/>
  <c r="Z37" i="83"/>
  <c r="X37" i="83"/>
  <c r="N37" i="83"/>
  <c r="L37" i="83"/>
  <c r="B37" i="83"/>
  <c r="Z36" i="83"/>
  <c r="X36" i="83"/>
  <c r="R36" i="83"/>
  <c r="N36" i="83"/>
  <c r="L36" i="83"/>
  <c r="F36" i="83"/>
  <c r="B36" i="83"/>
  <c r="Z35" i="83"/>
  <c r="X35" i="83"/>
  <c r="N35" i="83"/>
  <c r="L35" i="83"/>
  <c r="J35" i="83"/>
  <c r="F35" i="83"/>
  <c r="B35" i="83"/>
  <c r="Z34" i="83"/>
  <c r="X34" i="83"/>
  <c r="N34" i="83"/>
  <c r="L34" i="83"/>
  <c r="J34" i="83"/>
  <c r="B34" i="83"/>
  <c r="Z33" i="83"/>
  <c r="X33" i="83"/>
  <c r="N33" i="83"/>
  <c r="L33" i="83"/>
  <c r="B33" i="83"/>
  <c r="Z32" i="83"/>
  <c r="X32" i="83"/>
  <c r="R32" i="83"/>
  <c r="N32" i="83"/>
  <c r="L32" i="83"/>
  <c r="B32" i="83"/>
  <c r="Z31" i="83"/>
  <c r="X31" i="83"/>
  <c r="R31" i="83"/>
  <c r="N31" i="83"/>
  <c r="L31" i="83"/>
  <c r="B31" i="83"/>
  <c r="Z30" i="83"/>
  <c r="X30" i="83"/>
  <c r="N30" i="83"/>
  <c r="L30" i="83"/>
  <c r="B30" i="83"/>
  <c r="Z29" i="83"/>
  <c r="X29" i="83"/>
  <c r="N29" i="83"/>
  <c r="L29" i="83"/>
  <c r="B29" i="83"/>
  <c r="Z28" i="83"/>
  <c r="T28" i="83"/>
  <c r="R28" i="83"/>
  <c r="P28" i="83"/>
  <c r="X28" i="83" s="1"/>
  <c r="N28" i="83"/>
  <c r="L28" i="83"/>
  <c r="J28" i="83"/>
  <c r="H28" i="83"/>
  <c r="D28" i="83"/>
  <c r="B28" i="83"/>
  <c r="Z27" i="83"/>
  <c r="X27" i="83"/>
  <c r="R27" i="83"/>
  <c r="N27" i="83"/>
  <c r="L27" i="83"/>
  <c r="B27" i="83"/>
  <c r="Z26" i="83"/>
  <c r="X26" i="83"/>
  <c r="N26" i="83"/>
  <c r="L26" i="83"/>
  <c r="B26" i="83"/>
  <c r="Z25" i="83"/>
  <c r="X25" i="83"/>
  <c r="N25" i="83"/>
  <c r="L25" i="83"/>
  <c r="B25" i="83"/>
  <c r="Z24" i="83"/>
  <c r="X24" i="83"/>
  <c r="R24" i="83"/>
  <c r="N24" i="83"/>
  <c r="L24" i="83"/>
  <c r="F24" i="83"/>
  <c r="B24" i="83"/>
  <c r="Z23" i="83"/>
  <c r="X23" i="83"/>
  <c r="R23" i="83"/>
  <c r="N23" i="83"/>
  <c r="L23" i="83"/>
  <c r="J23" i="83"/>
  <c r="F23" i="83"/>
  <c r="B23" i="83"/>
  <c r="Z22" i="83"/>
  <c r="X22" i="83"/>
  <c r="R22" i="83"/>
  <c r="N22" i="83"/>
  <c r="L22" i="83"/>
  <c r="J22" i="83"/>
  <c r="B22" i="83"/>
  <c r="Z21" i="83"/>
  <c r="X21" i="83"/>
  <c r="R21" i="83"/>
  <c r="N21" i="83"/>
  <c r="L21" i="83"/>
  <c r="B21" i="83"/>
  <c r="Z20" i="83"/>
  <c r="X20" i="83"/>
  <c r="R20" i="83"/>
  <c r="N20" i="83"/>
  <c r="L20" i="83"/>
  <c r="B20" i="83"/>
  <c r="V19" i="83"/>
  <c r="T19" i="83"/>
  <c r="P19" i="83"/>
  <c r="N19" i="83"/>
  <c r="H19" i="83"/>
  <c r="F19" i="83"/>
  <c r="D19" i="83"/>
  <c r="L19" i="83" s="1"/>
  <c r="B19" i="83"/>
  <c r="T18" i="83"/>
  <c r="Z18" i="83" s="1"/>
  <c r="R18" i="83"/>
  <c r="P18" i="83"/>
  <c r="X18" i="83" s="1"/>
  <c r="N18" i="83"/>
  <c r="H18" i="83"/>
  <c r="D18" i="83"/>
  <c r="L18" i="83" s="1"/>
  <c r="H16" i="83"/>
  <c r="F16" i="83"/>
  <c r="T14" i="83"/>
  <c r="Z14" i="83" s="1"/>
  <c r="R14" i="83"/>
  <c r="P14" i="83"/>
  <c r="N14" i="83"/>
  <c r="H14" i="83"/>
  <c r="D14" i="83"/>
  <c r="L14" i="83" s="1"/>
  <c r="T12" i="83"/>
  <c r="P12" i="83"/>
  <c r="R54" i="83" s="1"/>
  <c r="L12" i="83"/>
  <c r="H12" i="83"/>
  <c r="J43" i="83" s="1"/>
  <c r="D12" i="83"/>
  <c r="F37" i="83" s="1"/>
  <c r="D6" i="83"/>
  <c r="D4" i="83"/>
  <c r="Z88" i="82"/>
  <c r="X88" i="82"/>
  <c r="L88" i="82"/>
  <c r="N88" i="82" s="1"/>
  <c r="F88" i="82"/>
  <c r="T84" i="82"/>
  <c r="P84" i="82"/>
  <c r="H84" i="82"/>
  <c r="N84" i="82" s="1"/>
  <c r="D84" i="82"/>
  <c r="L84" i="82" s="1"/>
  <c r="Z82" i="82"/>
  <c r="X82" i="82"/>
  <c r="L82" i="82"/>
  <c r="N82" i="82" s="1"/>
  <c r="B82" i="82"/>
  <c r="T81" i="82"/>
  <c r="P81" i="82"/>
  <c r="X81" i="82" s="1"/>
  <c r="N81" i="82"/>
  <c r="L81" i="82"/>
  <c r="H81" i="82"/>
  <c r="D81" i="82"/>
  <c r="B81" i="82"/>
  <c r="X80" i="82"/>
  <c r="Z80" i="82" s="1"/>
  <c r="N80" i="82"/>
  <c r="L80" i="82"/>
  <c r="B80" i="82"/>
  <c r="X79" i="82"/>
  <c r="Z79" i="82" s="1"/>
  <c r="T79" i="82"/>
  <c r="P79" i="82"/>
  <c r="H79" i="82"/>
  <c r="D79" i="82"/>
  <c r="B79" i="82"/>
  <c r="X78" i="82"/>
  <c r="Z78" i="82" s="1"/>
  <c r="N78" i="82"/>
  <c r="L78" i="82"/>
  <c r="B78" i="82"/>
  <c r="Z77" i="82"/>
  <c r="X77" i="82"/>
  <c r="N77" i="82"/>
  <c r="L77" i="82"/>
  <c r="B77" i="82"/>
  <c r="X76" i="82"/>
  <c r="Z76" i="82" s="1"/>
  <c r="V76" i="82"/>
  <c r="T76" i="82"/>
  <c r="P76" i="82"/>
  <c r="H76" i="82"/>
  <c r="D76" i="82"/>
  <c r="B76" i="82"/>
  <c r="Z75" i="82"/>
  <c r="X75" i="82"/>
  <c r="N75" i="82"/>
  <c r="L75" i="82"/>
  <c r="B75" i="82"/>
  <c r="X74" i="82"/>
  <c r="Z74" i="82" s="1"/>
  <c r="N74" i="82"/>
  <c r="L74" i="82"/>
  <c r="B74" i="82"/>
  <c r="Z73" i="82"/>
  <c r="X73" i="82"/>
  <c r="N73" i="82"/>
  <c r="L73" i="82"/>
  <c r="B73" i="82"/>
  <c r="X72" i="82"/>
  <c r="Z72" i="82" s="1"/>
  <c r="V72" i="82"/>
  <c r="L72" i="82"/>
  <c r="N72" i="82" s="1"/>
  <c r="B72" i="82"/>
  <c r="Z71" i="82"/>
  <c r="X71" i="82"/>
  <c r="N71" i="82"/>
  <c r="L71" i="82"/>
  <c r="B71" i="82"/>
  <c r="Z70" i="82"/>
  <c r="X70" i="82"/>
  <c r="N70" i="82"/>
  <c r="L70" i="82"/>
  <c r="B70" i="82"/>
  <c r="Z69" i="82"/>
  <c r="X69" i="82"/>
  <c r="N69" i="82"/>
  <c r="L69" i="82"/>
  <c r="B69" i="82"/>
  <c r="X68" i="82"/>
  <c r="Z68" i="82" s="1"/>
  <c r="L68" i="82"/>
  <c r="N68" i="82" s="1"/>
  <c r="J68" i="82"/>
  <c r="B68" i="82"/>
  <c r="T67" i="82"/>
  <c r="P67" i="82"/>
  <c r="X67" i="82" s="1"/>
  <c r="Z67" i="82" s="1"/>
  <c r="H67" i="82"/>
  <c r="D67" i="82"/>
  <c r="L67" i="82" s="1"/>
  <c r="B67" i="82"/>
  <c r="Z66" i="82"/>
  <c r="X66" i="82"/>
  <c r="L66" i="82"/>
  <c r="N66" i="82" s="1"/>
  <c r="B66" i="82"/>
  <c r="T65" i="82"/>
  <c r="P65" i="82"/>
  <c r="X65" i="82" s="1"/>
  <c r="N65" i="82"/>
  <c r="L65" i="82"/>
  <c r="H65" i="82"/>
  <c r="D65" i="82"/>
  <c r="B65" i="82"/>
  <c r="X64" i="82"/>
  <c r="Z64" i="82" s="1"/>
  <c r="L64" i="82"/>
  <c r="N64" i="82" s="1"/>
  <c r="B64" i="82"/>
  <c r="Z63" i="82"/>
  <c r="X63" i="82"/>
  <c r="N63" i="82"/>
  <c r="L63" i="82"/>
  <c r="B63" i="82"/>
  <c r="Z62" i="82"/>
  <c r="X62" i="82"/>
  <c r="N62" i="82"/>
  <c r="L62" i="82"/>
  <c r="B62" i="82"/>
  <c r="X61" i="82"/>
  <c r="Z61" i="82" s="1"/>
  <c r="N61" i="82"/>
  <c r="L61" i="82"/>
  <c r="B61" i="82"/>
  <c r="T60" i="82"/>
  <c r="P60" i="82"/>
  <c r="X60" i="82" s="1"/>
  <c r="H60" i="82"/>
  <c r="D60" i="82"/>
  <c r="B60" i="82"/>
  <c r="Z59" i="82"/>
  <c r="X59" i="82"/>
  <c r="N59" i="82"/>
  <c r="L59" i="82"/>
  <c r="J59" i="82"/>
  <c r="B59" i="82"/>
  <c r="Z58" i="82"/>
  <c r="X58" i="82"/>
  <c r="N58" i="82"/>
  <c r="L58" i="82"/>
  <c r="B58" i="82"/>
  <c r="V57" i="82"/>
  <c r="T57" i="82"/>
  <c r="P57" i="82"/>
  <c r="X57" i="82" s="1"/>
  <c r="H57" i="82"/>
  <c r="F57" i="82"/>
  <c r="D57" i="82"/>
  <c r="L57" i="82" s="1"/>
  <c r="N57" i="82" s="1"/>
  <c r="B57" i="82"/>
  <c r="X56" i="82"/>
  <c r="Z56" i="82" s="1"/>
  <c r="N56" i="82"/>
  <c r="L56" i="82"/>
  <c r="J56" i="82"/>
  <c r="F56" i="82"/>
  <c r="B56" i="82"/>
  <c r="T55" i="82"/>
  <c r="P55" i="82"/>
  <c r="X55" i="82" s="1"/>
  <c r="Z55" i="82" s="1"/>
  <c r="N55" i="82"/>
  <c r="L55" i="82"/>
  <c r="H55" i="82"/>
  <c r="D55" i="82"/>
  <c r="B55" i="82"/>
  <c r="X54" i="82"/>
  <c r="Z54" i="82" s="1"/>
  <c r="V54" i="82"/>
  <c r="N54" i="82"/>
  <c r="L54" i="82"/>
  <c r="B54" i="82"/>
  <c r="T53" i="82"/>
  <c r="V53" i="82" s="1"/>
  <c r="P53" i="82"/>
  <c r="H53" i="82"/>
  <c r="D53" i="82"/>
  <c r="L53" i="82" s="1"/>
  <c r="B53" i="82"/>
  <c r="X52" i="82"/>
  <c r="Z52" i="82" s="1"/>
  <c r="L52" i="82"/>
  <c r="N52" i="82" s="1"/>
  <c r="B52" i="82"/>
  <c r="Z51" i="82"/>
  <c r="T51" i="82"/>
  <c r="P51" i="82"/>
  <c r="X51" i="82" s="1"/>
  <c r="H51" i="82"/>
  <c r="F51" i="82"/>
  <c r="D51" i="82"/>
  <c r="B51" i="82"/>
  <c r="Z50" i="82"/>
  <c r="X50" i="82"/>
  <c r="L50" i="82"/>
  <c r="N50" i="82" s="1"/>
  <c r="J50" i="82"/>
  <c r="B50" i="82"/>
  <c r="Z49" i="82"/>
  <c r="X49" i="82"/>
  <c r="N49" i="82"/>
  <c r="L49" i="82"/>
  <c r="B49" i="82"/>
  <c r="T48" i="82"/>
  <c r="P48" i="82"/>
  <c r="X48" i="82" s="1"/>
  <c r="N48" i="82"/>
  <c r="H48" i="82"/>
  <c r="D48" i="82"/>
  <c r="L48" i="82" s="1"/>
  <c r="B48" i="82"/>
  <c r="X47" i="82"/>
  <c r="Z47" i="82" s="1"/>
  <c r="N47" i="82"/>
  <c r="L47" i="82"/>
  <c r="B47" i="82"/>
  <c r="T46" i="82"/>
  <c r="Z46" i="82" s="1"/>
  <c r="P46" i="82"/>
  <c r="X46" i="82" s="1"/>
  <c r="H46" i="82"/>
  <c r="D46" i="82"/>
  <c r="L46" i="82" s="1"/>
  <c r="N46" i="82" s="1"/>
  <c r="B46" i="82"/>
  <c r="Z45" i="82"/>
  <c r="X45" i="82"/>
  <c r="N45" i="82"/>
  <c r="L45" i="82"/>
  <c r="B45" i="82"/>
  <c r="Z44" i="82"/>
  <c r="X44" i="82"/>
  <c r="T44" i="82"/>
  <c r="P44" i="82"/>
  <c r="H44" i="82"/>
  <c r="D44" i="82"/>
  <c r="B44" i="82"/>
  <c r="Z43" i="82"/>
  <c r="X43" i="82"/>
  <c r="N43" i="82"/>
  <c r="L43" i="82"/>
  <c r="B43" i="82"/>
  <c r="Z42" i="82"/>
  <c r="X42" i="82"/>
  <c r="N42" i="82"/>
  <c r="L42" i="82"/>
  <c r="B42" i="82"/>
  <c r="Z41" i="82"/>
  <c r="X41" i="82"/>
  <c r="N41" i="82"/>
  <c r="L41" i="82"/>
  <c r="B41" i="82"/>
  <c r="X40" i="82"/>
  <c r="Z40" i="82" s="1"/>
  <c r="L40" i="82"/>
  <c r="N40" i="82" s="1"/>
  <c r="J40" i="82"/>
  <c r="B40" i="82"/>
  <c r="Z39" i="82"/>
  <c r="X39" i="82"/>
  <c r="N39" i="82"/>
  <c r="L39" i="82"/>
  <c r="J39" i="82"/>
  <c r="B39" i="82"/>
  <c r="Z38" i="82"/>
  <c r="X38" i="82"/>
  <c r="L38" i="82"/>
  <c r="N38" i="82" s="1"/>
  <c r="B38" i="82"/>
  <c r="X37" i="82"/>
  <c r="Z37" i="82" s="1"/>
  <c r="N37" i="82"/>
  <c r="L37" i="82"/>
  <c r="B37" i="82"/>
  <c r="Z36" i="82"/>
  <c r="X36" i="82"/>
  <c r="V36" i="82"/>
  <c r="N36" i="82"/>
  <c r="L36" i="82"/>
  <c r="B36" i="82"/>
  <c r="Z35" i="82"/>
  <c r="X35" i="82"/>
  <c r="V35" i="82"/>
  <c r="N35" i="82"/>
  <c r="L35" i="82"/>
  <c r="B35" i="82"/>
  <c r="Z34" i="82"/>
  <c r="X34" i="82"/>
  <c r="N34" i="82"/>
  <c r="L34" i="82"/>
  <c r="B34" i="82"/>
  <c r="T33" i="82"/>
  <c r="P33" i="82"/>
  <c r="X33" i="82" s="1"/>
  <c r="Z33" i="82" s="1"/>
  <c r="L33" i="82"/>
  <c r="N33" i="82" s="1"/>
  <c r="J33" i="82"/>
  <c r="H33" i="82"/>
  <c r="D33" i="82"/>
  <c r="B33" i="82"/>
  <c r="Z32" i="82"/>
  <c r="X32" i="82"/>
  <c r="V32" i="82"/>
  <c r="N32" i="82"/>
  <c r="L32" i="82"/>
  <c r="B32" i="82"/>
  <c r="X31" i="82"/>
  <c r="Z31" i="82" s="1"/>
  <c r="V31" i="82"/>
  <c r="L31" i="82"/>
  <c r="N31" i="82" s="1"/>
  <c r="B31" i="82"/>
  <c r="Z30" i="82"/>
  <c r="X30" i="82"/>
  <c r="N30" i="82"/>
  <c r="L30" i="82"/>
  <c r="B30" i="82"/>
  <c r="Z29" i="82"/>
  <c r="X29" i="82"/>
  <c r="N29" i="82"/>
  <c r="L29" i="82"/>
  <c r="F29" i="82"/>
  <c r="B29" i="82"/>
  <c r="Z28" i="82"/>
  <c r="X28" i="82"/>
  <c r="N28" i="82"/>
  <c r="L28" i="82"/>
  <c r="J28" i="82"/>
  <c r="F28" i="82"/>
  <c r="B28" i="82"/>
  <c r="X27" i="82"/>
  <c r="Z27" i="82" s="1"/>
  <c r="L27" i="82"/>
  <c r="N27" i="82" s="1"/>
  <c r="J27" i="82"/>
  <c r="B27" i="82"/>
  <c r="Z26" i="82"/>
  <c r="X26" i="82"/>
  <c r="V26" i="82"/>
  <c r="L26" i="82"/>
  <c r="N26" i="82" s="1"/>
  <c r="B26" i="82"/>
  <c r="X25" i="82"/>
  <c r="Z25" i="82" s="1"/>
  <c r="V25" i="82"/>
  <c r="N25" i="82"/>
  <c r="L25" i="82"/>
  <c r="B25" i="82"/>
  <c r="Z24" i="82"/>
  <c r="X24" i="82"/>
  <c r="V24" i="82"/>
  <c r="N24" i="82"/>
  <c r="L24" i="82"/>
  <c r="B24" i="82"/>
  <c r="X23" i="82"/>
  <c r="Z23" i="82" s="1"/>
  <c r="V23" i="82"/>
  <c r="T23" i="82"/>
  <c r="P23" i="82"/>
  <c r="H23" i="82"/>
  <c r="F23" i="82"/>
  <c r="D23" i="82"/>
  <c r="B23" i="82"/>
  <c r="T22" i="82"/>
  <c r="P22" i="82"/>
  <c r="X22" i="82" s="1"/>
  <c r="H22" i="82"/>
  <c r="N22" i="82" s="1"/>
  <c r="D22" i="82"/>
  <c r="L22" i="82" s="1"/>
  <c r="J20" i="82"/>
  <c r="H20" i="82"/>
  <c r="Z18" i="82"/>
  <c r="X18" i="82"/>
  <c r="V18" i="82"/>
  <c r="N18" i="82"/>
  <c r="L18" i="82"/>
  <c r="B18" i="82"/>
  <c r="X17" i="82"/>
  <c r="Z17" i="82" s="1"/>
  <c r="V17" i="82"/>
  <c r="N17" i="82"/>
  <c r="L17" i="82"/>
  <c r="B17" i="82"/>
  <c r="T16" i="82"/>
  <c r="P16" i="82"/>
  <c r="H16" i="82"/>
  <c r="F16" i="82"/>
  <c r="D16" i="82"/>
  <c r="L16" i="82" s="1"/>
  <c r="P14" i="82"/>
  <c r="X14" i="82" s="1"/>
  <c r="Z14" i="82" s="1"/>
  <c r="D14" i="82"/>
  <c r="L14" i="82" s="1"/>
  <c r="N14" i="82" s="1"/>
  <c r="B14" i="82"/>
  <c r="Z13" i="82"/>
  <c r="X13" i="82"/>
  <c r="P13" i="82"/>
  <c r="D13" i="82"/>
  <c r="L13" i="82" s="1"/>
  <c r="N13" i="82" s="1"/>
  <c r="B13" i="82"/>
  <c r="T12" i="82"/>
  <c r="V73" i="82" s="1"/>
  <c r="H12" i="82"/>
  <c r="J79" i="82" s="1"/>
  <c r="D12" i="82"/>
  <c r="D6" i="82"/>
  <c r="D4" i="82"/>
  <c r="Z94" i="81"/>
  <c r="X94" i="81"/>
  <c r="L94" i="81"/>
  <c r="N94" i="81" s="1"/>
  <c r="Z90" i="81"/>
  <c r="X90" i="81"/>
  <c r="P90" i="81"/>
  <c r="N90" i="81"/>
  <c r="D90" i="81"/>
  <c r="L90" i="81" s="1"/>
  <c r="B90" i="81"/>
  <c r="Z89" i="81"/>
  <c r="T89" i="81"/>
  <c r="P89" i="81"/>
  <c r="X89" i="81" s="1"/>
  <c r="N89" i="81"/>
  <c r="H89" i="81"/>
  <c r="X87" i="81"/>
  <c r="Z87" i="81" s="1"/>
  <c r="N87" i="81"/>
  <c r="L87" i="81"/>
  <c r="B87" i="81"/>
  <c r="T86" i="81"/>
  <c r="P86" i="81"/>
  <c r="H86" i="81"/>
  <c r="N86" i="81" s="1"/>
  <c r="D86" i="81"/>
  <c r="L86" i="81" s="1"/>
  <c r="B86" i="81"/>
  <c r="X85" i="81"/>
  <c r="Z85" i="81" s="1"/>
  <c r="L85" i="81"/>
  <c r="N85" i="81" s="1"/>
  <c r="B85" i="81"/>
  <c r="T84" i="81"/>
  <c r="Z84" i="81" s="1"/>
  <c r="P84" i="81"/>
  <c r="X84" i="81" s="1"/>
  <c r="H84" i="81"/>
  <c r="D84" i="81"/>
  <c r="L84" i="81" s="1"/>
  <c r="B84" i="81"/>
  <c r="Z83" i="81"/>
  <c r="X83" i="81"/>
  <c r="L83" i="81"/>
  <c r="N83" i="81" s="1"/>
  <c r="B83" i="81"/>
  <c r="Z82" i="81"/>
  <c r="X82" i="81"/>
  <c r="L82" i="81"/>
  <c r="N82" i="81" s="1"/>
  <c r="B82" i="81"/>
  <c r="T81" i="81"/>
  <c r="Z81" i="81" s="1"/>
  <c r="P81" i="81"/>
  <c r="X81" i="81" s="1"/>
  <c r="H81" i="81"/>
  <c r="D81" i="81"/>
  <c r="L81" i="81" s="1"/>
  <c r="N81" i="81" s="1"/>
  <c r="B81" i="81"/>
  <c r="X80" i="81"/>
  <c r="Z80" i="81" s="1"/>
  <c r="L80" i="81"/>
  <c r="N80" i="81" s="1"/>
  <c r="B80" i="81"/>
  <c r="Z79" i="81"/>
  <c r="X79" i="81"/>
  <c r="L79" i="81"/>
  <c r="N79" i="81" s="1"/>
  <c r="B79" i="81"/>
  <c r="Z78" i="81"/>
  <c r="X78" i="81"/>
  <c r="L78" i="81"/>
  <c r="N78" i="81" s="1"/>
  <c r="B78" i="81"/>
  <c r="X77" i="81"/>
  <c r="Z77" i="81" s="1"/>
  <c r="L77" i="81"/>
  <c r="N77" i="81" s="1"/>
  <c r="J77" i="81"/>
  <c r="B77" i="81"/>
  <c r="X76" i="81"/>
  <c r="Z76" i="81" s="1"/>
  <c r="L76" i="81"/>
  <c r="N76" i="81" s="1"/>
  <c r="B76" i="81"/>
  <c r="X75" i="81"/>
  <c r="Z75" i="81" s="1"/>
  <c r="N75" i="81"/>
  <c r="L75" i="81"/>
  <c r="B75" i="81"/>
  <c r="T74" i="81"/>
  <c r="P74" i="81"/>
  <c r="H74" i="81"/>
  <c r="D74" i="81"/>
  <c r="L74" i="81" s="1"/>
  <c r="B74" i="81"/>
  <c r="X73" i="81"/>
  <c r="Z73" i="81" s="1"/>
  <c r="L73" i="81"/>
  <c r="N73" i="81" s="1"/>
  <c r="B73" i="81"/>
  <c r="T72" i="81"/>
  <c r="P72" i="81"/>
  <c r="X72" i="81" s="1"/>
  <c r="H72" i="81"/>
  <c r="N72" i="81" s="1"/>
  <c r="D72" i="81"/>
  <c r="L72" i="81" s="1"/>
  <c r="B72" i="81"/>
  <c r="Z71" i="81"/>
  <c r="X71" i="81"/>
  <c r="L71" i="81"/>
  <c r="N71" i="81" s="1"/>
  <c r="B71" i="81"/>
  <c r="Z70" i="81"/>
  <c r="X70" i="81"/>
  <c r="L70" i="81"/>
  <c r="N70" i="81" s="1"/>
  <c r="B70" i="81"/>
  <c r="X69" i="81"/>
  <c r="Z69" i="81" s="1"/>
  <c r="L69" i="81"/>
  <c r="N69" i="81" s="1"/>
  <c r="J69" i="81"/>
  <c r="B69" i="81"/>
  <c r="X68" i="81"/>
  <c r="Z68" i="81" s="1"/>
  <c r="L68" i="81"/>
  <c r="N68" i="81" s="1"/>
  <c r="B68" i="81"/>
  <c r="T67" i="81"/>
  <c r="P67" i="81"/>
  <c r="H67" i="81"/>
  <c r="D67" i="81"/>
  <c r="L67" i="81" s="1"/>
  <c r="B67" i="81"/>
  <c r="Z66" i="81"/>
  <c r="X66" i="81"/>
  <c r="L66" i="81"/>
  <c r="N66" i="81" s="1"/>
  <c r="J66" i="81"/>
  <c r="B66" i="81"/>
  <c r="X65" i="81"/>
  <c r="Z65" i="81" s="1"/>
  <c r="N65" i="81"/>
  <c r="L65" i="81"/>
  <c r="B65" i="81"/>
  <c r="T64" i="81"/>
  <c r="Z64" i="81" s="1"/>
  <c r="P64" i="81"/>
  <c r="X64" i="81" s="1"/>
  <c r="H64" i="81"/>
  <c r="D64" i="81"/>
  <c r="L64" i="81" s="1"/>
  <c r="B64" i="81"/>
  <c r="Z63" i="81"/>
  <c r="X63" i="81"/>
  <c r="L63" i="81"/>
  <c r="N63" i="81" s="1"/>
  <c r="B63" i="81"/>
  <c r="T62" i="81"/>
  <c r="P62" i="81"/>
  <c r="X62" i="81" s="1"/>
  <c r="N62" i="81"/>
  <c r="L62" i="81"/>
  <c r="H62" i="81"/>
  <c r="D62" i="81"/>
  <c r="B62" i="81"/>
  <c r="X61" i="81"/>
  <c r="Z61" i="81" s="1"/>
  <c r="L61" i="81"/>
  <c r="N61" i="81" s="1"/>
  <c r="B61" i="81"/>
  <c r="Z60" i="81"/>
  <c r="X60" i="81"/>
  <c r="T60" i="81"/>
  <c r="P60" i="81"/>
  <c r="H60" i="81"/>
  <c r="D60" i="81"/>
  <c r="B60" i="81"/>
  <c r="X59" i="81"/>
  <c r="Z59" i="81" s="1"/>
  <c r="N59" i="81"/>
  <c r="L59" i="81"/>
  <c r="B59" i="81"/>
  <c r="T58" i="81"/>
  <c r="P58" i="81"/>
  <c r="H58" i="81"/>
  <c r="N58" i="81" s="1"/>
  <c r="D58" i="81"/>
  <c r="L58" i="81" s="1"/>
  <c r="B58" i="81"/>
  <c r="X57" i="81"/>
  <c r="Z57" i="81" s="1"/>
  <c r="L57" i="81"/>
  <c r="N57" i="81" s="1"/>
  <c r="B57" i="81"/>
  <c r="T56" i="81"/>
  <c r="P56" i="81"/>
  <c r="X56" i="81" s="1"/>
  <c r="H56" i="81"/>
  <c r="N56" i="81" s="1"/>
  <c r="D56" i="81"/>
  <c r="L56" i="81" s="1"/>
  <c r="B56" i="81"/>
  <c r="Z55" i="81"/>
  <c r="X55" i="81"/>
  <c r="N55" i="81"/>
  <c r="L55" i="81"/>
  <c r="B55" i="81"/>
  <c r="Z54" i="81"/>
  <c r="X54" i="81"/>
  <c r="N54" i="81"/>
  <c r="L54" i="81"/>
  <c r="B54" i="81"/>
  <c r="T53" i="81"/>
  <c r="Z53" i="81" s="1"/>
  <c r="P53" i="81"/>
  <c r="X53" i="81" s="1"/>
  <c r="H53" i="81"/>
  <c r="D53" i="81"/>
  <c r="L53" i="81" s="1"/>
  <c r="N53" i="81" s="1"/>
  <c r="B53" i="81"/>
  <c r="X52" i="81"/>
  <c r="Z52" i="81" s="1"/>
  <c r="L52" i="81"/>
  <c r="N52" i="81" s="1"/>
  <c r="B52" i="81"/>
  <c r="T51" i="81"/>
  <c r="P51" i="81"/>
  <c r="X51" i="81" s="1"/>
  <c r="Z51" i="81" s="1"/>
  <c r="L51" i="81"/>
  <c r="N51" i="81" s="1"/>
  <c r="H51" i="81"/>
  <c r="D51" i="81"/>
  <c r="B51" i="81"/>
  <c r="X50" i="81"/>
  <c r="Z50" i="81" s="1"/>
  <c r="N50" i="81"/>
  <c r="L50" i="81"/>
  <c r="B50" i="81"/>
  <c r="Z49" i="81"/>
  <c r="X49" i="81"/>
  <c r="T49" i="81"/>
  <c r="P49" i="81"/>
  <c r="H49" i="81"/>
  <c r="D49" i="81"/>
  <c r="B49" i="81"/>
  <c r="Z48" i="81"/>
  <c r="X48" i="81"/>
  <c r="N48" i="81"/>
  <c r="L48" i="81"/>
  <c r="B48" i="81"/>
  <c r="V47" i="81"/>
  <c r="T47" i="81"/>
  <c r="P47" i="81"/>
  <c r="H47" i="81"/>
  <c r="N47" i="81" s="1"/>
  <c r="D47" i="81"/>
  <c r="L47" i="81" s="1"/>
  <c r="B47" i="81"/>
  <c r="Z46" i="81"/>
  <c r="X46" i="81"/>
  <c r="N46" i="81"/>
  <c r="L46" i="81"/>
  <c r="B46" i="81"/>
  <c r="Z45" i="81"/>
  <c r="X45" i="81"/>
  <c r="N45" i="81"/>
  <c r="L45" i="81"/>
  <c r="B45" i="81"/>
  <c r="Z44" i="81"/>
  <c r="X44" i="81"/>
  <c r="N44" i="81"/>
  <c r="L44" i="81"/>
  <c r="B44" i="81"/>
  <c r="X43" i="81"/>
  <c r="Z43" i="81" s="1"/>
  <c r="N43" i="81"/>
  <c r="L43" i="81"/>
  <c r="B43" i="81"/>
  <c r="Z42" i="81"/>
  <c r="X42" i="81"/>
  <c r="N42" i="81"/>
  <c r="L42" i="81"/>
  <c r="B42" i="81"/>
  <c r="Z41" i="81"/>
  <c r="X41" i="81"/>
  <c r="N41" i="81"/>
  <c r="L41" i="81"/>
  <c r="B41" i="81"/>
  <c r="X40" i="81"/>
  <c r="Z40" i="81" s="1"/>
  <c r="N40" i="81"/>
  <c r="L40" i="81"/>
  <c r="B40" i="81"/>
  <c r="Z39" i="81"/>
  <c r="X39" i="81"/>
  <c r="N39" i="81"/>
  <c r="L39" i="81"/>
  <c r="J39" i="81"/>
  <c r="B39" i="81"/>
  <c r="X38" i="81"/>
  <c r="Z38" i="81" s="1"/>
  <c r="L38" i="81"/>
  <c r="N38" i="81" s="1"/>
  <c r="B38" i="81"/>
  <c r="Z37" i="81"/>
  <c r="X37" i="81"/>
  <c r="N37" i="81"/>
  <c r="L37" i="81"/>
  <c r="B37" i="81"/>
  <c r="T36" i="81"/>
  <c r="P36" i="81"/>
  <c r="X36" i="81" s="1"/>
  <c r="H36" i="81"/>
  <c r="D36" i="81"/>
  <c r="L36" i="81" s="1"/>
  <c r="B36" i="81"/>
  <c r="Z35" i="81"/>
  <c r="X35" i="81"/>
  <c r="L35" i="81"/>
  <c r="N35" i="81" s="1"/>
  <c r="J35" i="81"/>
  <c r="B35" i="81"/>
  <c r="X34" i="81"/>
  <c r="Z34" i="81" s="1"/>
  <c r="N34" i="81"/>
  <c r="L34" i="81"/>
  <c r="J34" i="81"/>
  <c r="B34" i="81"/>
  <c r="X33" i="81"/>
  <c r="Z33" i="81" s="1"/>
  <c r="N33" i="81"/>
  <c r="L33" i="81"/>
  <c r="J33" i="81"/>
  <c r="B33" i="81"/>
  <c r="Z32" i="81"/>
  <c r="X32" i="81"/>
  <c r="N32" i="81"/>
  <c r="L32" i="81"/>
  <c r="J32" i="81"/>
  <c r="B32" i="81"/>
  <c r="X31" i="81"/>
  <c r="Z31" i="81" s="1"/>
  <c r="L31" i="81"/>
  <c r="N31" i="81" s="1"/>
  <c r="B31" i="81"/>
  <c r="Z30" i="81"/>
  <c r="X30" i="81"/>
  <c r="N30" i="81"/>
  <c r="L30" i="81"/>
  <c r="B30" i="81"/>
  <c r="Z29" i="81"/>
  <c r="X29" i="81"/>
  <c r="V29" i="81"/>
  <c r="L29" i="81"/>
  <c r="N29" i="81" s="1"/>
  <c r="B29" i="81"/>
  <c r="X28" i="81"/>
  <c r="Z28" i="81" s="1"/>
  <c r="V28" i="81"/>
  <c r="L28" i="81"/>
  <c r="N28" i="81" s="1"/>
  <c r="B28" i="81"/>
  <c r="Z27" i="81"/>
  <c r="X27" i="81"/>
  <c r="L27" i="81"/>
  <c r="N27" i="81" s="1"/>
  <c r="B27" i="81"/>
  <c r="Z26" i="81"/>
  <c r="T26" i="81"/>
  <c r="P26" i="81"/>
  <c r="X26" i="81" s="1"/>
  <c r="L26" i="81"/>
  <c r="N26" i="81" s="1"/>
  <c r="J26" i="81"/>
  <c r="H26" i="81"/>
  <c r="D26" i="81"/>
  <c r="B26" i="81"/>
  <c r="V25" i="81"/>
  <c r="T25" i="81"/>
  <c r="P25" i="81"/>
  <c r="H25" i="81"/>
  <c r="D25" i="81"/>
  <c r="L25" i="81" s="1"/>
  <c r="N25" i="81" s="1"/>
  <c r="Z21" i="81"/>
  <c r="X21" i="81"/>
  <c r="V21" i="81"/>
  <c r="N21" i="81"/>
  <c r="L21" i="81"/>
  <c r="J21" i="81"/>
  <c r="B21" i="81"/>
  <c r="Z20" i="81"/>
  <c r="X20" i="81"/>
  <c r="V20" i="81"/>
  <c r="N20" i="81"/>
  <c r="L20" i="81"/>
  <c r="J20" i="81"/>
  <c r="B20" i="81"/>
  <c r="X19" i="81"/>
  <c r="Z19" i="81" s="1"/>
  <c r="L19" i="81"/>
  <c r="N19" i="81" s="1"/>
  <c r="B19" i="81"/>
  <c r="Z18" i="81"/>
  <c r="T18" i="81"/>
  <c r="P18" i="81"/>
  <c r="X18" i="81" s="1"/>
  <c r="L18" i="81"/>
  <c r="N18" i="81" s="1"/>
  <c r="J18" i="81"/>
  <c r="H18" i="81"/>
  <c r="D18" i="81"/>
  <c r="Z16" i="81"/>
  <c r="P16" i="81"/>
  <c r="X16" i="81" s="1"/>
  <c r="N16" i="81"/>
  <c r="L16" i="81"/>
  <c r="D16" i="81"/>
  <c r="B16" i="81"/>
  <c r="X15" i="81"/>
  <c r="Z15" i="81" s="1"/>
  <c r="P15" i="81"/>
  <c r="D15" i="81"/>
  <c r="B15" i="81"/>
  <c r="Z14" i="81"/>
  <c r="P14" i="81"/>
  <c r="X14" i="81" s="1"/>
  <c r="N14" i="81"/>
  <c r="D14" i="81"/>
  <c r="L14" i="81" s="1"/>
  <c r="B14" i="81"/>
  <c r="P13" i="81"/>
  <c r="X13" i="81" s="1"/>
  <c r="Z13" i="81" s="1"/>
  <c r="D13" i="81"/>
  <c r="L13" i="81" s="1"/>
  <c r="N13" i="81" s="1"/>
  <c r="B13" i="81"/>
  <c r="T12" i="81"/>
  <c r="V50" i="81" s="1"/>
  <c r="H12" i="81"/>
  <c r="D6" i="81"/>
  <c r="D4" i="81"/>
  <c r="F33" i="80"/>
  <c r="V30" i="80"/>
  <c r="R30" i="80"/>
  <c r="F30" i="80"/>
  <c r="Z28" i="80"/>
  <c r="X28" i="80"/>
  <c r="N28" i="80"/>
  <c r="L28" i="80"/>
  <c r="F26" i="80"/>
  <c r="Z24" i="80"/>
  <c r="X24" i="80"/>
  <c r="V24" i="80"/>
  <c r="T24" i="80"/>
  <c r="R24" i="80"/>
  <c r="P24" i="80"/>
  <c r="H24" i="80"/>
  <c r="F24" i="80"/>
  <c r="D24" i="80"/>
  <c r="Z22" i="80"/>
  <c r="X22" i="80"/>
  <c r="N22" i="80"/>
  <c r="L22" i="80"/>
  <c r="B22" i="80"/>
  <c r="Z21" i="80"/>
  <c r="T21" i="80"/>
  <c r="R21" i="80"/>
  <c r="P21" i="80"/>
  <c r="X21" i="80" s="1"/>
  <c r="H21" i="80"/>
  <c r="N21" i="80" s="1"/>
  <c r="D21" i="80"/>
  <c r="B21" i="80"/>
  <c r="Z20" i="80"/>
  <c r="X20" i="80"/>
  <c r="R20" i="80"/>
  <c r="N20" i="80"/>
  <c r="L20" i="80"/>
  <c r="F20" i="80"/>
  <c r="B20" i="80"/>
  <c r="T19" i="80"/>
  <c r="P19" i="80"/>
  <c r="L19" i="80"/>
  <c r="N19" i="80" s="1"/>
  <c r="H19" i="80"/>
  <c r="F19" i="80"/>
  <c r="D19" i="80"/>
  <c r="B19" i="80"/>
  <c r="X18" i="80"/>
  <c r="Z18" i="80" s="1"/>
  <c r="V18" i="80"/>
  <c r="T18" i="80"/>
  <c r="R18" i="80"/>
  <c r="P18" i="80"/>
  <c r="H18" i="80"/>
  <c r="F18" i="80"/>
  <c r="D18" i="80"/>
  <c r="R16" i="80"/>
  <c r="P16" i="80"/>
  <c r="F16" i="80"/>
  <c r="Z14" i="80"/>
  <c r="X14" i="80"/>
  <c r="V14" i="80"/>
  <c r="T14" i="80"/>
  <c r="R14" i="80"/>
  <c r="P14" i="80"/>
  <c r="H14" i="80"/>
  <c r="F14" i="80"/>
  <c r="D14" i="80"/>
  <c r="T12" i="80"/>
  <c r="V20" i="80" s="1"/>
  <c r="P12" i="80"/>
  <c r="R28" i="80" s="1"/>
  <c r="H12" i="80"/>
  <c r="D12" i="80"/>
  <c r="F28" i="80" s="1"/>
  <c r="D6" i="80"/>
  <c r="D4" i="80"/>
  <c r="R35" i="79"/>
  <c r="Z30" i="79"/>
  <c r="X30" i="79"/>
  <c r="R30" i="79"/>
  <c r="N30" i="79"/>
  <c r="L30" i="79"/>
  <c r="R28" i="79"/>
  <c r="Z26" i="79"/>
  <c r="T26" i="79"/>
  <c r="P26" i="79"/>
  <c r="X26" i="79" s="1"/>
  <c r="N26" i="79"/>
  <c r="L26" i="79"/>
  <c r="H26" i="79"/>
  <c r="D26" i="79"/>
  <c r="Z24" i="79"/>
  <c r="X24" i="79"/>
  <c r="R24" i="79"/>
  <c r="N24" i="79"/>
  <c r="L24" i="79"/>
  <c r="F24" i="79"/>
  <c r="B24" i="79"/>
  <c r="V23" i="79"/>
  <c r="T23" i="79"/>
  <c r="Z23" i="79" s="1"/>
  <c r="P23" i="79"/>
  <c r="X23" i="79" s="1"/>
  <c r="N23" i="79"/>
  <c r="H23" i="79"/>
  <c r="F23" i="79"/>
  <c r="D23" i="79"/>
  <c r="L23" i="79" s="1"/>
  <c r="B23" i="79"/>
  <c r="Z22" i="79"/>
  <c r="X22" i="79"/>
  <c r="N22" i="79"/>
  <c r="L22" i="79"/>
  <c r="B22" i="79"/>
  <c r="Z21" i="79"/>
  <c r="T21" i="79"/>
  <c r="R21" i="79"/>
  <c r="P21" i="79"/>
  <c r="X21" i="79" s="1"/>
  <c r="H21" i="79"/>
  <c r="N21" i="79" s="1"/>
  <c r="D21" i="79"/>
  <c r="B21" i="79"/>
  <c r="Z20" i="79"/>
  <c r="X20" i="79"/>
  <c r="R20" i="79"/>
  <c r="N20" i="79"/>
  <c r="L20" i="79"/>
  <c r="F20" i="79"/>
  <c r="B20" i="79"/>
  <c r="T19" i="79"/>
  <c r="P19" i="79"/>
  <c r="L19" i="79"/>
  <c r="N19" i="79" s="1"/>
  <c r="H19" i="79"/>
  <c r="F19" i="79"/>
  <c r="D19" i="79"/>
  <c r="B19" i="79"/>
  <c r="X18" i="79"/>
  <c r="Z18" i="79" s="1"/>
  <c r="V18" i="79"/>
  <c r="T18" i="79"/>
  <c r="R18" i="79"/>
  <c r="P18" i="79"/>
  <c r="H18" i="79"/>
  <c r="F18" i="79"/>
  <c r="D18" i="79"/>
  <c r="L18" i="79" s="1"/>
  <c r="P16" i="79"/>
  <c r="F16" i="79"/>
  <c r="X14" i="79"/>
  <c r="V14" i="79"/>
  <c r="T14" i="79"/>
  <c r="Z14" i="79" s="1"/>
  <c r="R14" i="79"/>
  <c r="P14" i="79"/>
  <c r="H14" i="79"/>
  <c r="N14" i="79" s="1"/>
  <c r="F14" i="79"/>
  <c r="D14" i="79"/>
  <c r="X12" i="79"/>
  <c r="T12" i="79"/>
  <c r="V32" i="79" s="1"/>
  <c r="P12" i="79"/>
  <c r="R23" i="79" s="1"/>
  <c r="H12" i="79"/>
  <c r="D12" i="79"/>
  <c r="F22" i="79" s="1"/>
  <c r="D6" i="79"/>
  <c r="D4" i="79"/>
  <c r="J77" i="78"/>
  <c r="Z75" i="78"/>
  <c r="X75" i="78"/>
  <c r="N75" i="78"/>
  <c r="L75" i="78"/>
  <c r="R73" i="78"/>
  <c r="Z71" i="78"/>
  <c r="P71" i="78"/>
  <c r="X71" i="78" s="1"/>
  <c r="N71" i="78"/>
  <c r="J71" i="78"/>
  <c r="F71" i="78"/>
  <c r="D71" i="78"/>
  <c r="L71" i="78" s="1"/>
  <c r="B71" i="78"/>
  <c r="Z70" i="78"/>
  <c r="T70" i="78"/>
  <c r="P70" i="78"/>
  <c r="X70" i="78" s="1"/>
  <c r="H70" i="78"/>
  <c r="N70" i="78" s="1"/>
  <c r="D70" i="78"/>
  <c r="Z68" i="78"/>
  <c r="X68" i="78"/>
  <c r="N68" i="78"/>
  <c r="L68" i="78"/>
  <c r="B68" i="78"/>
  <c r="Z67" i="78"/>
  <c r="T67" i="78"/>
  <c r="P67" i="78"/>
  <c r="X67" i="78" s="1"/>
  <c r="L67" i="78"/>
  <c r="N67" i="78" s="1"/>
  <c r="J67" i="78"/>
  <c r="H67" i="78"/>
  <c r="D67" i="78"/>
  <c r="B67" i="78"/>
  <c r="Z66" i="78"/>
  <c r="X66" i="78"/>
  <c r="R66" i="78"/>
  <c r="N66" i="78"/>
  <c r="L66" i="78"/>
  <c r="B66" i="78"/>
  <c r="X65" i="78"/>
  <c r="T65" i="78"/>
  <c r="Z65" i="78" s="1"/>
  <c r="P65" i="78"/>
  <c r="H65" i="78"/>
  <c r="N65" i="78" s="1"/>
  <c r="F65" i="78"/>
  <c r="D65" i="78"/>
  <c r="B65" i="78"/>
  <c r="Z64" i="78"/>
  <c r="X64" i="78"/>
  <c r="N64" i="78"/>
  <c r="L64" i="78"/>
  <c r="B64" i="78"/>
  <c r="T63" i="78"/>
  <c r="Z63" i="78" s="1"/>
  <c r="P63" i="78"/>
  <c r="N63" i="78"/>
  <c r="H63" i="78"/>
  <c r="D63" i="78"/>
  <c r="L63" i="78" s="1"/>
  <c r="B63" i="78"/>
  <c r="Z62" i="78"/>
  <c r="X62" i="78"/>
  <c r="N62" i="78"/>
  <c r="L62" i="78"/>
  <c r="J62" i="78"/>
  <c r="F62" i="78"/>
  <c r="B62" i="78"/>
  <c r="Z61" i="78"/>
  <c r="T61" i="78"/>
  <c r="P61" i="78"/>
  <c r="X61" i="78" s="1"/>
  <c r="N61" i="78"/>
  <c r="H61" i="78"/>
  <c r="L61" i="78" s="1"/>
  <c r="D61" i="78"/>
  <c r="B61" i="78"/>
  <c r="Z60" i="78"/>
  <c r="X60" i="78"/>
  <c r="N60" i="78"/>
  <c r="L60" i="78"/>
  <c r="B60" i="78"/>
  <c r="Z59" i="78"/>
  <c r="X59" i="78"/>
  <c r="N59" i="78"/>
  <c r="L59" i="78"/>
  <c r="F59" i="78"/>
  <c r="B59" i="78"/>
  <c r="X58" i="78"/>
  <c r="Z58" i="78" s="1"/>
  <c r="N58" i="78"/>
  <c r="L58" i="78"/>
  <c r="J58" i="78"/>
  <c r="F58" i="78"/>
  <c r="B58" i="78"/>
  <c r="T57" i="78"/>
  <c r="P57" i="78"/>
  <c r="X57" i="78" s="1"/>
  <c r="Z57" i="78" s="1"/>
  <c r="N57" i="78"/>
  <c r="H57" i="78"/>
  <c r="D57" i="78"/>
  <c r="L57" i="78" s="1"/>
  <c r="B57" i="78"/>
  <c r="Z56" i="78"/>
  <c r="X56" i="78"/>
  <c r="N56" i="78"/>
  <c r="L56" i="78"/>
  <c r="B56" i="78"/>
  <c r="Z55" i="78"/>
  <c r="X55" i="78"/>
  <c r="N55" i="78"/>
  <c r="L55" i="78"/>
  <c r="F55" i="78"/>
  <c r="B55" i="78"/>
  <c r="Z54" i="78"/>
  <c r="X54" i="78"/>
  <c r="N54" i="78"/>
  <c r="L54" i="78"/>
  <c r="J54" i="78"/>
  <c r="F54" i="78"/>
  <c r="B54" i="78"/>
  <c r="T53" i="78"/>
  <c r="Z53" i="78" s="1"/>
  <c r="P53" i="78"/>
  <c r="X53" i="78" s="1"/>
  <c r="N53" i="78"/>
  <c r="H53" i="78"/>
  <c r="D53" i="78"/>
  <c r="L53" i="78" s="1"/>
  <c r="B53" i="78"/>
  <c r="Z52" i="78"/>
  <c r="X52" i="78"/>
  <c r="N52" i="78"/>
  <c r="L52" i="78"/>
  <c r="B52" i="78"/>
  <c r="Z51" i="78"/>
  <c r="T51" i="78"/>
  <c r="P51" i="78"/>
  <c r="X51" i="78" s="1"/>
  <c r="L51" i="78"/>
  <c r="J51" i="78"/>
  <c r="H51" i="78"/>
  <c r="D51" i="78"/>
  <c r="B51" i="78"/>
  <c r="Z50" i="78"/>
  <c r="X50" i="78"/>
  <c r="N50" i="78"/>
  <c r="L50" i="78"/>
  <c r="B50" i="78"/>
  <c r="X49" i="78"/>
  <c r="T49" i="78"/>
  <c r="P49" i="78"/>
  <c r="H49" i="78"/>
  <c r="N49" i="78" s="1"/>
  <c r="F49" i="78"/>
  <c r="D49" i="78"/>
  <c r="B49" i="78"/>
  <c r="Z48" i="78"/>
  <c r="X48" i="78"/>
  <c r="N48" i="78"/>
  <c r="L48" i="78"/>
  <c r="B48" i="78"/>
  <c r="T47" i="78"/>
  <c r="P47" i="78"/>
  <c r="X47" i="78" s="1"/>
  <c r="H47" i="78"/>
  <c r="N47" i="78" s="1"/>
  <c r="D47" i="78"/>
  <c r="L47" i="78" s="1"/>
  <c r="B47" i="78"/>
  <c r="Z46" i="78"/>
  <c r="X46" i="78"/>
  <c r="N46" i="78"/>
  <c r="L46" i="78"/>
  <c r="J46" i="78"/>
  <c r="F46" i="78"/>
  <c r="B46" i="78"/>
  <c r="T45" i="78"/>
  <c r="Z45" i="78" s="1"/>
  <c r="P45" i="78"/>
  <c r="X45" i="78" s="1"/>
  <c r="N45" i="78"/>
  <c r="H45" i="78"/>
  <c r="L45" i="78" s="1"/>
  <c r="D45" i="78"/>
  <c r="B45" i="78"/>
  <c r="Z44" i="78"/>
  <c r="X44" i="78"/>
  <c r="N44" i="78"/>
  <c r="L44" i="78"/>
  <c r="B44" i="78"/>
  <c r="Z43" i="78"/>
  <c r="X43" i="78"/>
  <c r="N43" i="78"/>
  <c r="L43" i="78"/>
  <c r="F43" i="78"/>
  <c r="B43" i="78"/>
  <c r="T42" i="78"/>
  <c r="P42" i="78"/>
  <c r="X42" i="78" s="1"/>
  <c r="Z42" i="78" s="1"/>
  <c r="N42" i="78"/>
  <c r="L42" i="78"/>
  <c r="H42" i="78"/>
  <c r="D42" i="78"/>
  <c r="B42" i="78"/>
  <c r="X41" i="78"/>
  <c r="Z41" i="78" s="1"/>
  <c r="L41" i="78"/>
  <c r="N41" i="78" s="1"/>
  <c r="B41" i="78"/>
  <c r="X40" i="78"/>
  <c r="Z40" i="78" s="1"/>
  <c r="T40" i="78"/>
  <c r="P40" i="78"/>
  <c r="J40" i="78"/>
  <c r="H40" i="78"/>
  <c r="D40" i="78"/>
  <c r="L40" i="78" s="1"/>
  <c r="B40" i="78"/>
  <c r="Z39" i="78"/>
  <c r="X39" i="78"/>
  <c r="R39" i="78"/>
  <c r="N39" i="78"/>
  <c r="L39" i="78"/>
  <c r="B39" i="78"/>
  <c r="Z38" i="78"/>
  <c r="X38" i="78"/>
  <c r="R38" i="78"/>
  <c r="N38" i="78"/>
  <c r="L38" i="78"/>
  <c r="B38" i="78"/>
  <c r="Z37" i="78"/>
  <c r="X37" i="78"/>
  <c r="N37" i="78"/>
  <c r="L37" i="78"/>
  <c r="B37" i="78"/>
  <c r="Z36" i="78"/>
  <c r="X36" i="78"/>
  <c r="N36" i="78"/>
  <c r="L36" i="78"/>
  <c r="B36" i="78"/>
  <c r="Z35" i="78"/>
  <c r="X35" i="78"/>
  <c r="N35" i="78"/>
  <c r="L35" i="78"/>
  <c r="F35" i="78"/>
  <c r="B35" i="78"/>
  <c r="Z34" i="78"/>
  <c r="X34" i="78"/>
  <c r="N34" i="78"/>
  <c r="L34" i="78"/>
  <c r="J34" i="78"/>
  <c r="F34" i="78"/>
  <c r="B34" i="78"/>
  <c r="Z33" i="78"/>
  <c r="X33" i="78"/>
  <c r="N33" i="78"/>
  <c r="L33" i="78"/>
  <c r="J33" i="78"/>
  <c r="B33" i="78"/>
  <c r="Z32" i="78"/>
  <c r="X32" i="78"/>
  <c r="N32" i="78"/>
  <c r="L32" i="78"/>
  <c r="B32" i="78"/>
  <c r="X31" i="78"/>
  <c r="Z31" i="78" s="1"/>
  <c r="R31" i="78"/>
  <c r="N31" i="78"/>
  <c r="L31" i="78"/>
  <c r="B31" i="78"/>
  <c r="Z30" i="78"/>
  <c r="X30" i="78"/>
  <c r="N30" i="78"/>
  <c r="L30" i="78"/>
  <c r="B30" i="78"/>
  <c r="X29" i="78"/>
  <c r="T29" i="78"/>
  <c r="P29" i="78"/>
  <c r="H29" i="78"/>
  <c r="F29" i="78"/>
  <c r="D29" i="78"/>
  <c r="B29" i="78"/>
  <c r="Z28" i="78"/>
  <c r="X28" i="78"/>
  <c r="N28" i="78"/>
  <c r="L28" i="78"/>
  <c r="B28" i="78"/>
  <c r="X27" i="78"/>
  <c r="Z27" i="78" s="1"/>
  <c r="R27" i="78"/>
  <c r="N27" i="78"/>
  <c r="L27" i="78"/>
  <c r="B27" i="78"/>
  <c r="Z26" i="78"/>
  <c r="X26" i="78"/>
  <c r="R26" i="78"/>
  <c r="N26" i="78"/>
  <c r="L26" i="78"/>
  <c r="B26" i="78"/>
  <c r="Z25" i="78"/>
  <c r="X25" i="78"/>
  <c r="N25" i="78"/>
  <c r="L25" i="78"/>
  <c r="B25" i="78"/>
  <c r="X24" i="78"/>
  <c r="Z24" i="78" s="1"/>
  <c r="N24" i="78"/>
  <c r="L24" i="78"/>
  <c r="B24" i="78"/>
  <c r="Z23" i="78"/>
  <c r="X23" i="78"/>
  <c r="L23" i="78"/>
  <c r="N23" i="78" s="1"/>
  <c r="F23" i="78"/>
  <c r="B23" i="78"/>
  <c r="Z22" i="78"/>
  <c r="X22" i="78"/>
  <c r="N22" i="78"/>
  <c r="L22" i="78"/>
  <c r="J22" i="78"/>
  <c r="F22" i="78"/>
  <c r="B22" i="78"/>
  <c r="X21" i="78"/>
  <c r="Z21" i="78" s="1"/>
  <c r="L21" i="78"/>
  <c r="N21" i="78" s="1"/>
  <c r="J21" i="78"/>
  <c r="B21" i="78"/>
  <c r="Z20" i="78"/>
  <c r="X20" i="78"/>
  <c r="N20" i="78"/>
  <c r="L20" i="78"/>
  <c r="B20" i="78"/>
  <c r="T19" i="78"/>
  <c r="P19" i="78"/>
  <c r="X19" i="78" s="1"/>
  <c r="H19" i="78"/>
  <c r="D19" i="78"/>
  <c r="L19" i="78" s="1"/>
  <c r="B19" i="78"/>
  <c r="T18" i="78"/>
  <c r="P18" i="78"/>
  <c r="X18" i="78" s="1"/>
  <c r="L18" i="78"/>
  <c r="N18" i="78" s="1"/>
  <c r="H18" i="78"/>
  <c r="D18" i="78"/>
  <c r="V16" i="78"/>
  <c r="T16" i="78"/>
  <c r="Z16" i="78" s="1"/>
  <c r="F16" i="78"/>
  <c r="D16" i="78"/>
  <c r="D73" i="78" s="1"/>
  <c r="T14" i="78"/>
  <c r="Z14" i="78" s="1"/>
  <c r="P14" i="78"/>
  <c r="N14" i="78"/>
  <c r="L14" i="78"/>
  <c r="H14" i="78"/>
  <c r="D14" i="78"/>
  <c r="T12" i="78"/>
  <c r="P12" i="78"/>
  <c r="R70" i="78" s="1"/>
  <c r="H12" i="78"/>
  <c r="J64" i="78" s="1"/>
  <c r="D12" i="78"/>
  <c r="F40" i="78" s="1"/>
  <c r="D6" i="78"/>
  <c r="D4" i="78"/>
  <c r="X90" i="77"/>
  <c r="Z90" i="77" s="1"/>
  <c r="L90" i="77"/>
  <c r="N90" i="77" s="1"/>
  <c r="T86" i="77"/>
  <c r="Z86" i="77" s="1"/>
  <c r="P86" i="77"/>
  <c r="X86" i="77" s="1"/>
  <c r="H86" i="77"/>
  <c r="N86" i="77" s="1"/>
  <c r="D86" i="77"/>
  <c r="L86" i="77" s="1"/>
  <c r="X84" i="77"/>
  <c r="Z84" i="77" s="1"/>
  <c r="L84" i="77"/>
  <c r="N84" i="77" s="1"/>
  <c r="B84" i="77"/>
  <c r="T83" i="77"/>
  <c r="P83" i="77"/>
  <c r="X83" i="77" s="1"/>
  <c r="Z83" i="77" s="1"/>
  <c r="L83" i="77"/>
  <c r="N83" i="77" s="1"/>
  <c r="H83" i="77"/>
  <c r="D83" i="77"/>
  <c r="B83" i="77"/>
  <c r="X82" i="77"/>
  <c r="Z82" i="77" s="1"/>
  <c r="V82" i="77"/>
  <c r="L82" i="77"/>
  <c r="N82" i="77" s="1"/>
  <c r="B82" i="77"/>
  <c r="X81" i="77"/>
  <c r="Z81" i="77" s="1"/>
  <c r="V81" i="77"/>
  <c r="T81" i="77"/>
  <c r="P81" i="77"/>
  <c r="H81" i="77"/>
  <c r="F81" i="77"/>
  <c r="D81" i="77"/>
  <c r="L81" i="77" s="1"/>
  <c r="B81" i="77"/>
  <c r="X80" i="77"/>
  <c r="Z80" i="77" s="1"/>
  <c r="N80" i="77"/>
  <c r="L80" i="77"/>
  <c r="B80" i="77"/>
  <c r="Z79" i="77"/>
  <c r="X79" i="77"/>
  <c r="N79" i="77"/>
  <c r="L79" i="77"/>
  <c r="B79" i="77"/>
  <c r="X78" i="77"/>
  <c r="Z78" i="77" s="1"/>
  <c r="V78" i="77"/>
  <c r="L78" i="77"/>
  <c r="N78" i="77" s="1"/>
  <c r="B78" i="77"/>
  <c r="X77" i="77"/>
  <c r="Z77" i="77" s="1"/>
  <c r="V77" i="77"/>
  <c r="L77" i="77"/>
  <c r="N77" i="77" s="1"/>
  <c r="B77" i="77"/>
  <c r="X76" i="77"/>
  <c r="Z76" i="77" s="1"/>
  <c r="L76" i="77"/>
  <c r="N76" i="77" s="1"/>
  <c r="B76" i="77"/>
  <c r="Z75" i="77"/>
  <c r="X75" i="77"/>
  <c r="N75" i="77"/>
  <c r="L75" i="77"/>
  <c r="B75" i="77"/>
  <c r="Z74" i="77"/>
  <c r="X74" i="77"/>
  <c r="N74" i="77"/>
  <c r="L74" i="77"/>
  <c r="B74" i="77"/>
  <c r="X73" i="77"/>
  <c r="Z73" i="77" s="1"/>
  <c r="L73" i="77"/>
  <c r="N73" i="77" s="1"/>
  <c r="J73" i="77"/>
  <c r="B73" i="77"/>
  <c r="T72" i="77"/>
  <c r="Z72" i="77" s="1"/>
  <c r="P72" i="77"/>
  <c r="X72" i="77" s="1"/>
  <c r="H72" i="77"/>
  <c r="D72" i="77"/>
  <c r="L72" i="77" s="1"/>
  <c r="B72" i="77"/>
  <c r="Z71" i="77"/>
  <c r="X71" i="77"/>
  <c r="N71" i="77"/>
  <c r="L71" i="77"/>
  <c r="B71" i="77"/>
  <c r="T70" i="77"/>
  <c r="P70" i="77"/>
  <c r="X70" i="77" s="1"/>
  <c r="N70" i="77"/>
  <c r="L70" i="77"/>
  <c r="H70" i="77"/>
  <c r="D70" i="77"/>
  <c r="B70" i="77"/>
  <c r="X69" i="77"/>
  <c r="Z69" i="77" s="1"/>
  <c r="V69" i="77"/>
  <c r="N69" i="77"/>
  <c r="L69" i="77"/>
  <c r="B69" i="77"/>
  <c r="Z68" i="77"/>
  <c r="X68" i="77"/>
  <c r="L68" i="77"/>
  <c r="N68" i="77" s="1"/>
  <c r="B68" i="77"/>
  <c r="Z67" i="77"/>
  <c r="X67" i="77"/>
  <c r="N67" i="77"/>
  <c r="L67" i="77"/>
  <c r="B67" i="77"/>
  <c r="X66" i="77"/>
  <c r="Z66" i="77" s="1"/>
  <c r="L66" i="77"/>
  <c r="N66" i="77" s="1"/>
  <c r="F66" i="77"/>
  <c r="B66" i="77"/>
  <c r="T65" i="77"/>
  <c r="P65" i="77"/>
  <c r="X65" i="77" s="1"/>
  <c r="Z65" i="77" s="1"/>
  <c r="N65" i="77"/>
  <c r="L65" i="77"/>
  <c r="H65" i="77"/>
  <c r="D65" i="77"/>
  <c r="B65" i="77"/>
  <c r="Z64" i="77"/>
  <c r="X64" i="77"/>
  <c r="L64" i="77"/>
  <c r="N64" i="77" s="1"/>
  <c r="B64" i="77"/>
  <c r="Z63" i="77"/>
  <c r="X63" i="77"/>
  <c r="N63" i="77"/>
  <c r="L63" i="77"/>
  <c r="F63" i="77"/>
  <c r="B63" i="77"/>
  <c r="T62" i="77"/>
  <c r="Z62" i="77" s="1"/>
  <c r="P62" i="77"/>
  <c r="X62" i="77" s="1"/>
  <c r="N62" i="77"/>
  <c r="L62" i="77"/>
  <c r="H62" i="77"/>
  <c r="D62" i="77"/>
  <c r="B62" i="77"/>
  <c r="X61" i="77"/>
  <c r="Z61" i="77" s="1"/>
  <c r="V61" i="77"/>
  <c r="N61" i="77"/>
  <c r="L61" i="77"/>
  <c r="B61" i="77"/>
  <c r="X60" i="77"/>
  <c r="Z60" i="77" s="1"/>
  <c r="T60" i="77"/>
  <c r="P60" i="77"/>
  <c r="H60" i="77"/>
  <c r="D60" i="77"/>
  <c r="B60" i="77"/>
  <c r="Z59" i="77"/>
  <c r="X59" i="77"/>
  <c r="N59" i="77"/>
  <c r="L59" i="77"/>
  <c r="B59" i="77"/>
  <c r="V58" i="77"/>
  <c r="T58" i="77"/>
  <c r="P58" i="77"/>
  <c r="H58" i="77"/>
  <c r="N58" i="77" s="1"/>
  <c r="F58" i="77"/>
  <c r="D58" i="77"/>
  <c r="L58" i="77" s="1"/>
  <c r="B58" i="77"/>
  <c r="Z57" i="77"/>
  <c r="X57" i="77"/>
  <c r="L57" i="77"/>
  <c r="N57" i="77" s="1"/>
  <c r="B57" i="77"/>
  <c r="T56" i="77"/>
  <c r="Z56" i="77" s="1"/>
  <c r="P56" i="77"/>
  <c r="X56" i="77" s="1"/>
  <c r="H56" i="77"/>
  <c r="D56" i="77"/>
  <c r="L56" i="77" s="1"/>
  <c r="B56" i="77"/>
  <c r="Z55" i="77"/>
  <c r="X55" i="77"/>
  <c r="N55" i="77"/>
  <c r="L55" i="77"/>
  <c r="B55" i="77"/>
  <c r="Z54" i="77"/>
  <c r="X54" i="77"/>
  <c r="N54" i="77"/>
  <c r="L54" i="77"/>
  <c r="J54" i="77"/>
  <c r="B54" i="77"/>
  <c r="T53" i="77"/>
  <c r="P53" i="77"/>
  <c r="X53" i="77" s="1"/>
  <c r="Z53" i="77" s="1"/>
  <c r="H53" i="77"/>
  <c r="D53" i="77"/>
  <c r="L53" i="77" s="1"/>
  <c r="N53" i="77" s="1"/>
  <c r="B53" i="77"/>
  <c r="X52" i="77"/>
  <c r="Z52" i="77" s="1"/>
  <c r="L52" i="77"/>
  <c r="N52" i="77" s="1"/>
  <c r="B52" i="77"/>
  <c r="T51" i="77"/>
  <c r="P51" i="77"/>
  <c r="X51" i="77" s="1"/>
  <c r="Z51" i="77" s="1"/>
  <c r="L51" i="77"/>
  <c r="N51" i="77" s="1"/>
  <c r="H51" i="77"/>
  <c r="D51" i="77"/>
  <c r="B51" i="77"/>
  <c r="Z50" i="77"/>
  <c r="X50" i="77"/>
  <c r="V50" i="77"/>
  <c r="N50" i="77"/>
  <c r="L50" i="77"/>
  <c r="B50" i="77"/>
  <c r="Z49" i="77"/>
  <c r="X49" i="77"/>
  <c r="V49" i="77"/>
  <c r="T49" i="77"/>
  <c r="P49" i="77"/>
  <c r="H49" i="77"/>
  <c r="D49" i="77"/>
  <c r="B49" i="77"/>
  <c r="Z48" i="77"/>
  <c r="X48" i="77"/>
  <c r="N48" i="77"/>
  <c r="L48" i="77"/>
  <c r="B48" i="77"/>
  <c r="T47" i="77"/>
  <c r="P47" i="77"/>
  <c r="H47" i="77"/>
  <c r="N47" i="77" s="1"/>
  <c r="D47" i="77"/>
  <c r="L47" i="77" s="1"/>
  <c r="B47" i="77"/>
  <c r="Z46" i="77"/>
  <c r="X46" i="77"/>
  <c r="N46" i="77"/>
  <c r="L46" i="77"/>
  <c r="B46" i="77"/>
  <c r="Z45" i="77"/>
  <c r="X45" i="77"/>
  <c r="N45" i="77"/>
  <c r="L45" i="77"/>
  <c r="B45" i="77"/>
  <c r="Z44" i="77"/>
  <c r="X44" i="77"/>
  <c r="N44" i="77"/>
  <c r="L44" i="77"/>
  <c r="B44" i="77"/>
  <c r="Z43" i="77"/>
  <c r="X43" i="77"/>
  <c r="N43" i="77"/>
  <c r="L43" i="77"/>
  <c r="B43" i="77"/>
  <c r="Z42" i="77"/>
  <c r="X42" i="77"/>
  <c r="V42" i="77"/>
  <c r="N42" i="77"/>
  <c r="L42" i="77"/>
  <c r="B42" i="77"/>
  <c r="X41" i="77"/>
  <c r="Z41" i="77" s="1"/>
  <c r="V41" i="77"/>
  <c r="N41" i="77"/>
  <c r="L41" i="77"/>
  <c r="B41" i="77"/>
  <c r="Z40" i="77"/>
  <c r="X40" i="77"/>
  <c r="N40" i="77"/>
  <c r="L40" i="77"/>
  <c r="B40" i="77"/>
  <c r="Z39" i="77"/>
  <c r="X39" i="77"/>
  <c r="N39" i="77"/>
  <c r="L39" i="77"/>
  <c r="B39" i="77"/>
  <c r="X38" i="77"/>
  <c r="Z38" i="77" s="1"/>
  <c r="L38" i="77"/>
  <c r="N38" i="77" s="1"/>
  <c r="B38" i="77"/>
  <c r="Z37" i="77"/>
  <c r="X37" i="77"/>
  <c r="N37" i="77"/>
  <c r="L37" i="77"/>
  <c r="J37" i="77"/>
  <c r="B37" i="77"/>
  <c r="T36" i="77"/>
  <c r="Z36" i="77" s="1"/>
  <c r="P36" i="77"/>
  <c r="X36" i="77" s="1"/>
  <c r="H36" i="77"/>
  <c r="D36" i="77"/>
  <c r="L36" i="77" s="1"/>
  <c r="N36" i="77" s="1"/>
  <c r="B36" i="77"/>
  <c r="Z35" i="77"/>
  <c r="X35" i="77"/>
  <c r="N35" i="77"/>
  <c r="L35" i="77"/>
  <c r="B35" i="77"/>
  <c r="Z34" i="77"/>
  <c r="X34" i="77"/>
  <c r="L34" i="77"/>
  <c r="N34" i="77" s="1"/>
  <c r="B34" i="77"/>
  <c r="Z33" i="77"/>
  <c r="X33" i="77"/>
  <c r="L33" i="77"/>
  <c r="N33" i="77" s="1"/>
  <c r="J33" i="77"/>
  <c r="B33" i="77"/>
  <c r="Z32" i="77"/>
  <c r="X32" i="77"/>
  <c r="N32" i="77"/>
  <c r="L32" i="77"/>
  <c r="B32" i="77"/>
  <c r="X31" i="77"/>
  <c r="Z31" i="77" s="1"/>
  <c r="N31" i="77"/>
  <c r="L31" i="77"/>
  <c r="B31" i="77"/>
  <c r="X30" i="77"/>
  <c r="Z30" i="77" s="1"/>
  <c r="V30" i="77"/>
  <c r="N30" i="77"/>
  <c r="L30" i="77"/>
  <c r="B30" i="77"/>
  <c r="X29" i="77"/>
  <c r="Z29" i="77" s="1"/>
  <c r="V29" i="77"/>
  <c r="N29" i="77"/>
  <c r="L29" i="77"/>
  <c r="B29" i="77"/>
  <c r="X28" i="77"/>
  <c r="Z28" i="77" s="1"/>
  <c r="L28" i="77"/>
  <c r="N28" i="77" s="1"/>
  <c r="B28" i="77"/>
  <c r="Z27" i="77"/>
  <c r="X27" i="77"/>
  <c r="L27" i="77"/>
  <c r="N27" i="77" s="1"/>
  <c r="B27" i="77"/>
  <c r="T26" i="77"/>
  <c r="P26" i="77"/>
  <c r="X26" i="77" s="1"/>
  <c r="L26" i="77"/>
  <c r="N26" i="77" s="1"/>
  <c r="H26" i="77"/>
  <c r="D26" i="77"/>
  <c r="B26" i="77"/>
  <c r="X25" i="77"/>
  <c r="V25" i="77"/>
  <c r="T25" i="77"/>
  <c r="Z25" i="77" s="1"/>
  <c r="P25" i="77"/>
  <c r="H25" i="77"/>
  <c r="D25" i="77"/>
  <c r="Z21" i="77"/>
  <c r="X21" i="77"/>
  <c r="V21" i="77"/>
  <c r="N21" i="77"/>
  <c r="L21" i="77"/>
  <c r="B21" i="77"/>
  <c r="Z20" i="77"/>
  <c r="X20" i="77"/>
  <c r="V20" i="77"/>
  <c r="N20" i="77"/>
  <c r="L20" i="77"/>
  <c r="B20" i="77"/>
  <c r="Z19" i="77"/>
  <c r="X19" i="77"/>
  <c r="N19" i="77"/>
  <c r="L19" i="77"/>
  <c r="F19" i="77"/>
  <c r="B19" i="77"/>
  <c r="Z18" i="77"/>
  <c r="T18" i="77"/>
  <c r="P18" i="77"/>
  <c r="X18" i="77" s="1"/>
  <c r="N18" i="77"/>
  <c r="L18" i="77"/>
  <c r="H18" i="77"/>
  <c r="D18" i="77"/>
  <c r="Z16" i="77"/>
  <c r="P16" i="77"/>
  <c r="N16" i="77"/>
  <c r="L16" i="77"/>
  <c r="D16" i="77"/>
  <c r="B16" i="77"/>
  <c r="P15" i="77"/>
  <c r="X15" i="77" s="1"/>
  <c r="Z15" i="77" s="1"/>
  <c r="D15" i="77"/>
  <c r="L15" i="77" s="1"/>
  <c r="N15" i="77" s="1"/>
  <c r="B15" i="77"/>
  <c r="Z14" i="77"/>
  <c r="X14" i="77"/>
  <c r="P14" i="77"/>
  <c r="N14" i="77"/>
  <c r="L14" i="77"/>
  <c r="D14" i="77"/>
  <c r="B14" i="77"/>
  <c r="X13" i="77"/>
  <c r="Z13" i="77" s="1"/>
  <c r="P13" i="77"/>
  <c r="D13" i="77"/>
  <c r="L13" i="77" s="1"/>
  <c r="N13" i="77" s="1"/>
  <c r="B13" i="77"/>
  <c r="T12" i="77"/>
  <c r="H12" i="77"/>
  <c r="D12" i="77"/>
  <c r="F25" i="77" s="1"/>
  <c r="D6" i="77"/>
  <c r="D4" i="77"/>
  <c r="Z30" i="76"/>
  <c r="X30" i="76"/>
  <c r="L30" i="76"/>
  <c r="N30" i="76" s="1"/>
  <c r="T26" i="76"/>
  <c r="Z26" i="76" s="1"/>
  <c r="R26" i="76"/>
  <c r="P26" i="76"/>
  <c r="N26" i="76"/>
  <c r="H26" i="76"/>
  <c r="D26" i="76"/>
  <c r="L26" i="76" s="1"/>
  <c r="Z24" i="76"/>
  <c r="X24" i="76"/>
  <c r="V24" i="76"/>
  <c r="N24" i="76"/>
  <c r="L24" i="76"/>
  <c r="B24" i="76"/>
  <c r="X23" i="76"/>
  <c r="Z23" i="76" s="1"/>
  <c r="T23" i="76"/>
  <c r="P23" i="76"/>
  <c r="N23" i="76"/>
  <c r="L23" i="76"/>
  <c r="H23" i="76"/>
  <c r="D23" i="76"/>
  <c r="B23" i="76"/>
  <c r="X22" i="76"/>
  <c r="V22" i="76"/>
  <c r="T22" i="76"/>
  <c r="Z22" i="76" s="1"/>
  <c r="R22" i="76"/>
  <c r="P22" i="76"/>
  <c r="H22" i="76"/>
  <c r="D22" i="76"/>
  <c r="P20" i="76"/>
  <c r="Z18" i="76"/>
  <c r="X18" i="76"/>
  <c r="V18" i="76"/>
  <c r="R18" i="76"/>
  <c r="N18" i="76"/>
  <c r="L18" i="76"/>
  <c r="B18" i="76"/>
  <c r="X17" i="76"/>
  <c r="Z17" i="76" s="1"/>
  <c r="V17" i="76"/>
  <c r="R17" i="76"/>
  <c r="L17" i="76"/>
  <c r="N17" i="76" s="1"/>
  <c r="B17" i="76"/>
  <c r="Z16" i="76"/>
  <c r="X16" i="76"/>
  <c r="V16" i="76"/>
  <c r="T16" i="76"/>
  <c r="R16" i="76"/>
  <c r="P16" i="76"/>
  <c r="L16" i="76"/>
  <c r="H16" i="76"/>
  <c r="D16" i="76"/>
  <c r="Z14" i="76"/>
  <c r="P14" i="76"/>
  <c r="X14" i="76" s="1"/>
  <c r="N14" i="76"/>
  <c r="L14" i="76"/>
  <c r="D14" i="76"/>
  <c r="B14" i="76"/>
  <c r="X13" i="76"/>
  <c r="Z13" i="76" s="1"/>
  <c r="P13" i="76"/>
  <c r="D13" i="76"/>
  <c r="B13" i="76"/>
  <c r="T12" i="76"/>
  <c r="T20" i="76" s="1"/>
  <c r="P12" i="76"/>
  <c r="H12" i="76"/>
  <c r="D6" i="76"/>
  <c r="D4" i="76"/>
  <c r="Z88" i="75"/>
  <c r="X88" i="75"/>
  <c r="N88" i="75"/>
  <c r="L88" i="75"/>
  <c r="Z84" i="75"/>
  <c r="X84" i="75"/>
  <c r="T84" i="75"/>
  <c r="P84" i="75"/>
  <c r="L84" i="75"/>
  <c r="H84" i="75"/>
  <c r="N84" i="75" s="1"/>
  <c r="D84" i="75"/>
  <c r="Z82" i="75"/>
  <c r="X82" i="75"/>
  <c r="N82" i="75"/>
  <c r="L82" i="75"/>
  <c r="B82" i="75"/>
  <c r="T81" i="75"/>
  <c r="P81" i="75"/>
  <c r="H81" i="75"/>
  <c r="D81" i="75"/>
  <c r="L81" i="75" s="1"/>
  <c r="B81" i="75"/>
  <c r="Z80" i="75"/>
  <c r="X80" i="75"/>
  <c r="L80" i="75"/>
  <c r="N80" i="75" s="1"/>
  <c r="B80" i="75"/>
  <c r="Z79" i="75"/>
  <c r="X79" i="75"/>
  <c r="N79" i="75"/>
  <c r="L79" i="75"/>
  <c r="B79" i="75"/>
  <c r="T78" i="75"/>
  <c r="P78" i="75"/>
  <c r="X78" i="75" s="1"/>
  <c r="H78" i="75"/>
  <c r="D78" i="75"/>
  <c r="L78" i="75" s="1"/>
  <c r="N78" i="75" s="1"/>
  <c r="B78" i="75"/>
  <c r="X77" i="75"/>
  <c r="Z77" i="75" s="1"/>
  <c r="N77" i="75"/>
  <c r="L77" i="75"/>
  <c r="B77" i="75"/>
  <c r="T76" i="75"/>
  <c r="P76" i="75"/>
  <c r="X76" i="75" s="1"/>
  <c r="Z76" i="75" s="1"/>
  <c r="N76" i="75"/>
  <c r="L76" i="75"/>
  <c r="H76" i="75"/>
  <c r="D76" i="75"/>
  <c r="B76" i="75"/>
  <c r="Z75" i="75"/>
  <c r="X75" i="75"/>
  <c r="N75" i="75"/>
  <c r="L75" i="75"/>
  <c r="B75" i="75"/>
  <c r="Z74" i="75"/>
  <c r="X74" i="75"/>
  <c r="N74" i="75"/>
  <c r="L74" i="75"/>
  <c r="F74" i="75"/>
  <c r="B74" i="75"/>
  <c r="X73" i="75"/>
  <c r="Z73" i="75" s="1"/>
  <c r="N73" i="75"/>
  <c r="L73" i="75"/>
  <c r="B73" i="75"/>
  <c r="T72" i="75"/>
  <c r="P72" i="75"/>
  <c r="X72" i="75" s="1"/>
  <c r="Z72" i="75" s="1"/>
  <c r="N72" i="75"/>
  <c r="L72" i="75"/>
  <c r="H72" i="75"/>
  <c r="D72" i="75"/>
  <c r="B72" i="75"/>
  <c r="X71" i="75"/>
  <c r="Z71" i="75" s="1"/>
  <c r="L71" i="75"/>
  <c r="N71" i="75" s="1"/>
  <c r="B71" i="75"/>
  <c r="Z70" i="75"/>
  <c r="X70" i="75"/>
  <c r="N70" i="75"/>
  <c r="L70" i="75"/>
  <c r="B70" i="75"/>
  <c r="X69" i="75"/>
  <c r="Z69" i="75" s="1"/>
  <c r="T69" i="75"/>
  <c r="P69" i="75"/>
  <c r="N69" i="75"/>
  <c r="L69" i="75"/>
  <c r="H69" i="75"/>
  <c r="D69" i="75"/>
  <c r="B69" i="75"/>
  <c r="Z68" i="75"/>
  <c r="X68" i="75"/>
  <c r="V68" i="75"/>
  <c r="N68" i="75"/>
  <c r="L68" i="75"/>
  <c r="B68" i="75"/>
  <c r="X67" i="75"/>
  <c r="Z67" i="75" s="1"/>
  <c r="L67" i="75"/>
  <c r="N67" i="75" s="1"/>
  <c r="B67" i="75"/>
  <c r="Z66" i="75"/>
  <c r="X66" i="75"/>
  <c r="T66" i="75"/>
  <c r="P66" i="75"/>
  <c r="L66" i="75"/>
  <c r="J66" i="75"/>
  <c r="H66" i="75"/>
  <c r="D66" i="75"/>
  <c r="B66" i="75"/>
  <c r="Z65" i="75"/>
  <c r="X65" i="75"/>
  <c r="V65" i="75"/>
  <c r="N65" i="75"/>
  <c r="L65" i="75"/>
  <c r="B65" i="75"/>
  <c r="X64" i="75"/>
  <c r="Z64" i="75" s="1"/>
  <c r="V64" i="75"/>
  <c r="N64" i="75"/>
  <c r="L64" i="75"/>
  <c r="B64" i="75"/>
  <c r="Z63" i="75"/>
  <c r="X63" i="75"/>
  <c r="T63" i="75"/>
  <c r="P63" i="75"/>
  <c r="H63" i="75"/>
  <c r="D63" i="75"/>
  <c r="L63" i="75" s="1"/>
  <c r="B63" i="75"/>
  <c r="X62" i="75"/>
  <c r="Z62" i="75" s="1"/>
  <c r="N62" i="75"/>
  <c r="L62" i="75"/>
  <c r="B62" i="75"/>
  <c r="T61" i="75"/>
  <c r="P61" i="75"/>
  <c r="X61" i="75" s="1"/>
  <c r="H61" i="75"/>
  <c r="N61" i="75" s="1"/>
  <c r="D61" i="75"/>
  <c r="L61" i="75" s="1"/>
  <c r="B61" i="75"/>
  <c r="Z60" i="75"/>
  <c r="X60" i="75"/>
  <c r="N60" i="75"/>
  <c r="L60" i="75"/>
  <c r="J60" i="75"/>
  <c r="B60" i="75"/>
  <c r="T59" i="75"/>
  <c r="Z59" i="75" s="1"/>
  <c r="P59" i="75"/>
  <c r="X59" i="75" s="1"/>
  <c r="N59" i="75"/>
  <c r="L59" i="75"/>
  <c r="H59" i="75"/>
  <c r="D59" i="75"/>
  <c r="B59" i="75"/>
  <c r="Z58" i="75"/>
  <c r="X58" i="75"/>
  <c r="N58" i="75"/>
  <c r="L58" i="75"/>
  <c r="B58" i="75"/>
  <c r="X57" i="75"/>
  <c r="Z57" i="75" s="1"/>
  <c r="T57" i="75"/>
  <c r="P57" i="75"/>
  <c r="L57" i="75"/>
  <c r="N57" i="75" s="1"/>
  <c r="H57" i="75"/>
  <c r="D57" i="75"/>
  <c r="B57" i="75"/>
  <c r="X56" i="75"/>
  <c r="Z56" i="75" s="1"/>
  <c r="V56" i="75"/>
  <c r="N56" i="75"/>
  <c r="L56" i="75"/>
  <c r="B56" i="75"/>
  <c r="X55" i="75"/>
  <c r="Z55" i="75" s="1"/>
  <c r="T55" i="75"/>
  <c r="P55" i="75"/>
  <c r="H55" i="75"/>
  <c r="D55" i="75"/>
  <c r="B55" i="75"/>
  <c r="Z54" i="75"/>
  <c r="X54" i="75"/>
  <c r="N54" i="75"/>
  <c r="L54" i="75"/>
  <c r="B54" i="75"/>
  <c r="T53" i="75"/>
  <c r="P53" i="75"/>
  <c r="H53" i="75"/>
  <c r="N53" i="75" s="1"/>
  <c r="D53" i="75"/>
  <c r="L53" i="75" s="1"/>
  <c r="B53" i="75"/>
  <c r="Z52" i="75"/>
  <c r="X52" i="75"/>
  <c r="L52" i="75"/>
  <c r="N52" i="75" s="1"/>
  <c r="B52" i="75"/>
  <c r="T51" i="75"/>
  <c r="Z51" i="75" s="1"/>
  <c r="P51" i="75"/>
  <c r="X51" i="75" s="1"/>
  <c r="L51" i="75"/>
  <c r="N51" i="75" s="1"/>
  <c r="H51" i="75"/>
  <c r="D51" i="75"/>
  <c r="B51" i="75"/>
  <c r="Z50" i="75"/>
  <c r="X50" i="75"/>
  <c r="N50" i="75"/>
  <c r="L50" i="75"/>
  <c r="B50" i="75"/>
  <c r="X49" i="75"/>
  <c r="Z49" i="75" s="1"/>
  <c r="T49" i="75"/>
  <c r="P49" i="75"/>
  <c r="N49" i="75"/>
  <c r="L49" i="75"/>
  <c r="H49" i="75"/>
  <c r="D49" i="75"/>
  <c r="B49" i="75"/>
  <c r="X48" i="75"/>
  <c r="Z48" i="75" s="1"/>
  <c r="V48" i="75"/>
  <c r="N48" i="75"/>
  <c r="L48" i="75"/>
  <c r="B48" i="75"/>
  <c r="X47" i="75"/>
  <c r="Z47" i="75" s="1"/>
  <c r="T47" i="75"/>
  <c r="P47" i="75"/>
  <c r="H47" i="75"/>
  <c r="D47" i="75"/>
  <c r="L47" i="75" s="1"/>
  <c r="B47" i="75"/>
  <c r="Z46" i="75"/>
  <c r="X46" i="75"/>
  <c r="N46" i="75"/>
  <c r="L46" i="75"/>
  <c r="B46" i="75"/>
  <c r="T45" i="75"/>
  <c r="P45" i="75"/>
  <c r="H45" i="75"/>
  <c r="N45" i="75" s="1"/>
  <c r="D45" i="75"/>
  <c r="L45" i="75" s="1"/>
  <c r="B45" i="75"/>
  <c r="Z44" i="75"/>
  <c r="X44" i="75"/>
  <c r="N44" i="75"/>
  <c r="L44" i="75"/>
  <c r="J44" i="75"/>
  <c r="B44" i="75"/>
  <c r="Z43" i="75"/>
  <c r="X43" i="75"/>
  <c r="N43" i="75"/>
  <c r="L43" i="75"/>
  <c r="B43" i="75"/>
  <c r="Z42" i="75"/>
  <c r="X42" i="75"/>
  <c r="N42" i="75"/>
  <c r="L42" i="75"/>
  <c r="B42" i="75"/>
  <c r="X41" i="75"/>
  <c r="Z41" i="75" s="1"/>
  <c r="V41" i="75"/>
  <c r="L41" i="75"/>
  <c r="N41" i="75" s="1"/>
  <c r="B41" i="75"/>
  <c r="Z40" i="75"/>
  <c r="X40" i="75"/>
  <c r="V40" i="75"/>
  <c r="N40" i="75"/>
  <c r="L40" i="75"/>
  <c r="B40" i="75"/>
  <c r="Z39" i="75"/>
  <c r="X39" i="75"/>
  <c r="N39" i="75"/>
  <c r="L39" i="75"/>
  <c r="B39" i="75"/>
  <c r="Z38" i="75"/>
  <c r="X38" i="75"/>
  <c r="V38" i="75"/>
  <c r="N38" i="75"/>
  <c r="L38" i="75"/>
  <c r="B38" i="75"/>
  <c r="Z37" i="75"/>
  <c r="X37" i="75"/>
  <c r="N37" i="75"/>
  <c r="L37" i="75"/>
  <c r="J37" i="75"/>
  <c r="B37" i="75"/>
  <c r="Z36" i="75"/>
  <c r="X36" i="75"/>
  <c r="L36" i="75"/>
  <c r="N36" i="75" s="1"/>
  <c r="J36" i="75"/>
  <c r="B36" i="75"/>
  <c r="Z35" i="75"/>
  <c r="X35" i="75"/>
  <c r="N35" i="75"/>
  <c r="L35" i="75"/>
  <c r="B35" i="75"/>
  <c r="T34" i="75"/>
  <c r="P34" i="75"/>
  <c r="H34" i="75"/>
  <c r="D34" i="75"/>
  <c r="L34" i="75" s="1"/>
  <c r="N34" i="75" s="1"/>
  <c r="B34" i="75"/>
  <c r="Z33" i="75"/>
  <c r="X33" i="75"/>
  <c r="N33" i="75"/>
  <c r="L33" i="75"/>
  <c r="B33" i="75"/>
  <c r="Z32" i="75"/>
  <c r="X32" i="75"/>
  <c r="L32" i="75"/>
  <c r="N32" i="75" s="1"/>
  <c r="J32" i="75"/>
  <c r="B32" i="75"/>
  <c r="X31" i="75"/>
  <c r="Z31" i="75" s="1"/>
  <c r="N31" i="75"/>
  <c r="L31" i="75"/>
  <c r="B31" i="75"/>
  <c r="Z30" i="75"/>
  <c r="X30" i="75"/>
  <c r="N30" i="75"/>
  <c r="L30" i="75"/>
  <c r="B30" i="75"/>
  <c r="X29" i="75"/>
  <c r="Z29" i="75" s="1"/>
  <c r="V29" i="75"/>
  <c r="L29" i="75"/>
  <c r="N29" i="75" s="1"/>
  <c r="B29" i="75"/>
  <c r="X28" i="75"/>
  <c r="Z28" i="75" s="1"/>
  <c r="V28" i="75"/>
  <c r="N28" i="75"/>
  <c r="L28" i="75"/>
  <c r="B28" i="75"/>
  <c r="X27" i="75"/>
  <c r="Z27" i="75" s="1"/>
  <c r="L27" i="75"/>
  <c r="N27" i="75" s="1"/>
  <c r="B27" i="75"/>
  <c r="Z26" i="75"/>
  <c r="X26" i="75"/>
  <c r="V26" i="75"/>
  <c r="N26" i="75"/>
  <c r="L26" i="75"/>
  <c r="B26" i="75"/>
  <c r="X25" i="75"/>
  <c r="Z25" i="75" s="1"/>
  <c r="N25" i="75"/>
  <c r="L25" i="75"/>
  <c r="B25" i="75"/>
  <c r="T24" i="75"/>
  <c r="P24" i="75"/>
  <c r="X24" i="75" s="1"/>
  <c r="Z24" i="75" s="1"/>
  <c r="N24" i="75"/>
  <c r="L24" i="75"/>
  <c r="H24" i="75"/>
  <c r="D24" i="75"/>
  <c r="B24" i="75"/>
  <c r="X23" i="75"/>
  <c r="Z23" i="75" s="1"/>
  <c r="T23" i="75"/>
  <c r="P23" i="75"/>
  <c r="H23" i="75"/>
  <c r="D23" i="75"/>
  <c r="Z19" i="75"/>
  <c r="X19" i="75"/>
  <c r="N19" i="75"/>
  <c r="L19" i="75"/>
  <c r="B19" i="75"/>
  <c r="Z18" i="75"/>
  <c r="X18" i="75"/>
  <c r="V18" i="75"/>
  <c r="N18" i="75"/>
  <c r="L18" i="75"/>
  <c r="F18" i="75"/>
  <c r="B18" i="75"/>
  <c r="X17" i="75"/>
  <c r="T17" i="75"/>
  <c r="Z17" i="75" s="1"/>
  <c r="P17" i="75"/>
  <c r="L17" i="75"/>
  <c r="N17" i="75" s="1"/>
  <c r="H17" i="75"/>
  <c r="D17" i="75"/>
  <c r="Z15" i="75"/>
  <c r="P15" i="75"/>
  <c r="N15" i="75"/>
  <c r="D15" i="75"/>
  <c r="L15" i="75" s="1"/>
  <c r="B15" i="75"/>
  <c r="Z14" i="75"/>
  <c r="X14" i="75"/>
  <c r="P14" i="75"/>
  <c r="N14" i="75"/>
  <c r="L14" i="75"/>
  <c r="D14" i="75"/>
  <c r="B14" i="75"/>
  <c r="X13" i="75"/>
  <c r="Z13" i="75" s="1"/>
  <c r="P13" i="75"/>
  <c r="D13" i="75"/>
  <c r="D12" i="75" s="1"/>
  <c r="B13" i="75"/>
  <c r="T12" i="75"/>
  <c r="H12" i="75"/>
  <c r="J80" i="75" s="1"/>
  <c r="D6" i="75"/>
  <c r="D4" i="75"/>
  <c r="Z84" i="74"/>
  <c r="X84" i="74"/>
  <c r="N84" i="74"/>
  <c r="L84" i="74"/>
  <c r="Z80" i="74"/>
  <c r="X80" i="74"/>
  <c r="T80" i="74"/>
  <c r="P80" i="74"/>
  <c r="L80" i="74"/>
  <c r="H80" i="74"/>
  <c r="N80" i="74" s="1"/>
  <c r="D80" i="74"/>
  <c r="Z78" i="74"/>
  <c r="X78" i="74"/>
  <c r="N78" i="74"/>
  <c r="L78" i="74"/>
  <c r="B78" i="74"/>
  <c r="T77" i="74"/>
  <c r="Z77" i="74" s="1"/>
  <c r="P77" i="74"/>
  <c r="N77" i="74"/>
  <c r="H77" i="74"/>
  <c r="D77" i="74"/>
  <c r="L77" i="74" s="1"/>
  <c r="B77" i="74"/>
  <c r="Z76" i="74"/>
  <c r="X76" i="74"/>
  <c r="L76" i="74"/>
  <c r="N76" i="74" s="1"/>
  <c r="B76" i="74"/>
  <c r="X75" i="74"/>
  <c r="Z75" i="74" s="1"/>
  <c r="L75" i="74"/>
  <c r="N75" i="74" s="1"/>
  <c r="B75" i="74"/>
  <c r="T74" i="74"/>
  <c r="P74" i="74"/>
  <c r="X74" i="74" s="1"/>
  <c r="H74" i="74"/>
  <c r="D74" i="74"/>
  <c r="L74" i="74" s="1"/>
  <c r="N74" i="74" s="1"/>
  <c r="B74" i="74"/>
  <c r="X73" i="74"/>
  <c r="Z73" i="74" s="1"/>
  <c r="N73" i="74"/>
  <c r="L73" i="74"/>
  <c r="B73" i="74"/>
  <c r="Z72" i="74"/>
  <c r="X72" i="74"/>
  <c r="L72" i="74"/>
  <c r="N72" i="74" s="1"/>
  <c r="B72" i="74"/>
  <c r="Z71" i="74"/>
  <c r="X71" i="74"/>
  <c r="N71" i="74"/>
  <c r="L71" i="74"/>
  <c r="B71" i="74"/>
  <c r="Z70" i="74"/>
  <c r="X70" i="74"/>
  <c r="N70" i="74"/>
  <c r="L70" i="74"/>
  <c r="B70" i="74"/>
  <c r="Z69" i="74"/>
  <c r="X69" i="74"/>
  <c r="V69" i="74"/>
  <c r="L69" i="74"/>
  <c r="N69" i="74" s="1"/>
  <c r="B69" i="74"/>
  <c r="X68" i="74"/>
  <c r="V68" i="74"/>
  <c r="T68" i="74"/>
  <c r="Z68" i="74" s="1"/>
  <c r="P68" i="74"/>
  <c r="H68" i="74"/>
  <c r="D68" i="74"/>
  <c r="B68" i="74"/>
  <c r="X67" i="74"/>
  <c r="Z67" i="74" s="1"/>
  <c r="L67" i="74"/>
  <c r="N67" i="74" s="1"/>
  <c r="B67" i="74"/>
  <c r="Z66" i="74"/>
  <c r="X66" i="74"/>
  <c r="N66" i="74"/>
  <c r="L66" i="74"/>
  <c r="B66" i="74"/>
  <c r="Z65" i="74"/>
  <c r="X65" i="74"/>
  <c r="V65" i="74"/>
  <c r="L65" i="74"/>
  <c r="N65" i="74" s="1"/>
  <c r="B65" i="74"/>
  <c r="X64" i="74"/>
  <c r="V64" i="74"/>
  <c r="T64" i="74"/>
  <c r="Z64" i="74" s="1"/>
  <c r="P64" i="74"/>
  <c r="H64" i="74"/>
  <c r="D64" i="74"/>
  <c r="B64" i="74"/>
  <c r="X63" i="74"/>
  <c r="Z63" i="74" s="1"/>
  <c r="L63" i="74"/>
  <c r="N63" i="74" s="1"/>
  <c r="B63" i="74"/>
  <c r="Z62" i="74"/>
  <c r="X62" i="74"/>
  <c r="N62" i="74"/>
  <c r="L62" i="74"/>
  <c r="B62" i="74"/>
  <c r="V61" i="74"/>
  <c r="T61" i="74"/>
  <c r="P61" i="74"/>
  <c r="X61" i="74" s="1"/>
  <c r="H61" i="74"/>
  <c r="D61" i="74"/>
  <c r="L61" i="74" s="1"/>
  <c r="N61" i="74" s="1"/>
  <c r="B61" i="74"/>
  <c r="Z60" i="74"/>
  <c r="X60" i="74"/>
  <c r="L60" i="74"/>
  <c r="N60" i="74" s="1"/>
  <c r="B60" i="74"/>
  <c r="T59" i="74"/>
  <c r="P59" i="74"/>
  <c r="X59" i="74" s="1"/>
  <c r="Z59" i="74" s="1"/>
  <c r="L59" i="74"/>
  <c r="H59" i="74"/>
  <c r="N59" i="74" s="1"/>
  <c r="D59" i="74"/>
  <c r="B59" i="74"/>
  <c r="Z58" i="74"/>
  <c r="X58" i="74"/>
  <c r="V58" i="74"/>
  <c r="N58" i="74"/>
  <c r="L58" i="74"/>
  <c r="B58" i="74"/>
  <c r="X57" i="74"/>
  <c r="T57" i="74"/>
  <c r="P57" i="74"/>
  <c r="H57" i="74"/>
  <c r="D57" i="74"/>
  <c r="B57" i="74"/>
  <c r="Z56" i="74"/>
  <c r="X56" i="74"/>
  <c r="V56" i="74"/>
  <c r="N56" i="74"/>
  <c r="L56" i="74"/>
  <c r="B56" i="74"/>
  <c r="Z55" i="74"/>
  <c r="T55" i="74"/>
  <c r="X55" i="74" s="1"/>
  <c r="P55" i="74"/>
  <c r="H55" i="74"/>
  <c r="N55" i="74" s="1"/>
  <c r="D55" i="74"/>
  <c r="L55" i="74" s="1"/>
  <c r="B55" i="74"/>
  <c r="Z54" i="74"/>
  <c r="X54" i="74"/>
  <c r="N54" i="74"/>
  <c r="L54" i="74"/>
  <c r="B54" i="74"/>
  <c r="T53" i="74"/>
  <c r="P53" i="74"/>
  <c r="H53" i="74"/>
  <c r="D53" i="74"/>
  <c r="L53" i="74" s="1"/>
  <c r="N53" i="74" s="1"/>
  <c r="B53" i="74"/>
  <c r="Z52" i="74"/>
  <c r="X52" i="74"/>
  <c r="L52" i="74"/>
  <c r="N52" i="74" s="1"/>
  <c r="B52" i="74"/>
  <c r="Z51" i="74"/>
  <c r="X51" i="74"/>
  <c r="N51" i="74"/>
  <c r="L51" i="74"/>
  <c r="B51" i="74"/>
  <c r="T50" i="74"/>
  <c r="P50" i="74"/>
  <c r="H50" i="74"/>
  <c r="D50" i="74"/>
  <c r="L50" i="74" s="1"/>
  <c r="N50" i="74" s="1"/>
  <c r="B50" i="74"/>
  <c r="X49" i="74"/>
  <c r="Z49" i="74" s="1"/>
  <c r="L49" i="74"/>
  <c r="N49" i="74" s="1"/>
  <c r="B49" i="74"/>
  <c r="T48" i="74"/>
  <c r="P48" i="74"/>
  <c r="X48" i="74" s="1"/>
  <c r="Z48" i="74" s="1"/>
  <c r="N48" i="74"/>
  <c r="L48" i="74"/>
  <c r="H48" i="74"/>
  <c r="D48" i="74"/>
  <c r="B48" i="74"/>
  <c r="Z47" i="74"/>
  <c r="X47" i="74"/>
  <c r="N47" i="74"/>
  <c r="L47" i="74"/>
  <c r="B47" i="74"/>
  <c r="Z46" i="74"/>
  <c r="X46" i="74"/>
  <c r="V46" i="74"/>
  <c r="T46" i="74"/>
  <c r="P46" i="74"/>
  <c r="L46" i="74"/>
  <c r="H46" i="74"/>
  <c r="N46" i="74" s="1"/>
  <c r="D46" i="74"/>
  <c r="B46" i="74"/>
  <c r="Z45" i="74"/>
  <c r="X45" i="74"/>
  <c r="V45" i="74"/>
  <c r="N45" i="74"/>
  <c r="L45" i="74"/>
  <c r="B45" i="74"/>
  <c r="X44" i="74"/>
  <c r="V44" i="74"/>
  <c r="T44" i="74"/>
  <c r="Z44" i="74" s="1"/>
  <c r="P44" i="74"/>
  <c r="H44" i="74"/>
  <c r="N44" i="74" s="1"/>
  <c r="D44" i="74"/>
  <c r="B44" i="74"/>
  <c r="Z43" i="74"/>
  <c r="X43" i="74"/>
  <c r="N43" i="74"/>
  <c r="L43" i="74"/>
  <c r="B43" i="74"/>
  <c r="Z42" i="74"/>
  <c r="X42" i="74"/>
  <c r="N42" i="74"/>
  <c r="L42" i="74"/>
  <c r="B42" i="74"/>
  <c r="Z41" i="74"/>
  <c r="X41" i="74"/>
  <c r="V41" i="74"/>
  <c r="L41" i="74"/>
  <c r="N41" i="74" s="1"/>
  <c r="B41" i="74"/>
  <c r="Z40" i="74"/>
  <c r="X40" i="74"/>
  <c r="V40" i="74"/>
  <c r="N40" i="74"/>
  <c r="L40" i="74"/>
  <c r="B40" i="74"/>
  <c r="Z39" i="74"/>
  <c r="X39" i="74"/>
  <c r="N39" i="74"/>
  <c r="L39" i="74"/>
  <c r="B39" i="74"/>
  <c r="Z38" i="74"/>
  <c r="X38" i="74"/>
  <c r="V38" i="74"/>
  <c r="N38" i="74"/>
  <c r="L38" i="74"/>
  <c r="B38" i="74"/>
  <c r="X37" i="74"/>
  <c r="Z37" i="74" s="1"/>
  <c r="N37" i="74"/>
  <c r="L37" i="74"/>
  <c r="J37" i="74"/>
  <c r="B37" i="74"/>
  <c r="Z36" i="74"/>
  <c r="X36" i="74"/>
  <c r="N36" i="74"/>
  <c r="L36" i="74"/>
  <c r="J36" i="74"/>
  <c r="B36" i="74"/>
  <c r="X35" i="74"/>
  <c r="Z35" i="74" s="1"/>
  <c r="N35" i="74"/>
  <c r="L35" i="74"/>
  <c r="B35" i="74"/>
  <c r="Z34" i="74"/>
  <c r="X34" i="74"/>
  <c r="N34" i="74"/>
  <c r="L34" i="74"/>
  <c r="B34" i="74"/>
  <c r="T33" i="74"/>
  <c r="P33" i="74"/>
  <c r="X33" i="74" s="1"/>
  <c r="H33" i="74"/>
  <c r="D33" i="74"/>
  <c r="L33" i="74" s="1"/>
  <c r="N33" i="74" s="1"/>
  <c r="B33" i="74"/>
  <c r="Z32" i="74"/>
  <c r="X32" i="74"/>
  <c r="L32" i="74"/>
  <c r="N32" i="74" s="1"/>
  <c r="J32" i="74"/>
  <c r="B32" i="74"/>
  <c r="X31" i="74"/>
  <c r="Z31" i="74" s="1"/>
  <c r="N31" i="74"/>
  <c r="L31" i="74"/>
  <c r="B31" i="74"/>
  <c r="Z30" i="74"/>
  <c r="X30" i="74"/>
  <c r="N30" i="74"/>
  <c r="L30" i="74"/>
  <c r="B30" i="74"/>
  <c r="X29" i="74"/>
  <c r="Z29" i="74" s="1"/>
  <c r="V29" i="74"/>
  <c r="L29" i="74"/>
  <c r="N29" i="74" s="1"/>
  <c r="B29" i="74"/>
  <c r="X28" i="74"/>
  <c r="Z28" i="74" s="1"/>
  <c r="V28" i="74"/>
  <c r="N28" i="74"/>
  <c r="L28" i="74"/>
  <c r="B28" i="74"/>
  <c r="X27" i="74"/>
  <c r="Z27" i="74" s="1"/>
  <c r="L27" i="74"/>
  <c r="N27" i="74" s="1"/>
  <c r="B27" i="74"/>
  <c r="Z26" i="74"/>
  <c r="X26" i="74"/>
  <c r="V26" i="74"/>
  <c r="N26" i="74"/>
  <c r="L26" i="74"/>
  <c r="B26" i="74"/>
  <c r="X25" i="74"/>
  <c r="Z25" i="74" s="1"/>
  <c r="L25" i="74"/>
  <c r="N25" i="74" s="1"/>
  <c r="B25" i="74"/>
  <c r="Z24" i="74"/>
  <c r="V24" i="74"/>
  <c r="T24" i="74"/>
  <c r="P24" i="74"/>
  <c r="X24" i="74" s="1"/>
  <c r="N24" i="74"/>
  <c r="L24" i="74"/>
  <c r="H24" i="74"/>
  <c r="D24" i="74"/>
  <c r="B24" i="74"/>
  <c r="T23" i="74"/>
  <c r="V23" i="74" s="1"/>
  <c r="P23" i="74"/>
  <c r="H23" i="74"/>
  <c r="D23" i="74"/>
  <c r="Z19" i="74"/>
  <c r="X19" i="74"/>
  <c r="V19" i="74"/>
  <c r="N19" i="74"/>
  <c r="L19" i="74"/>
  <c r="B19" i="74"/>
  <c r="Z18" i="74"/>
  <c r="X18" i="74"/>
  <c r="V18" i="74"/>
  <c r="N18" i="74"/>
  <c r="L18" i="74"/>
  <c r="B18" i="74"/>
  <c r="X17" i="74"/>
  <c r="Z17" i="74" s="1"/>
  <c r="V17" i="74"/>
  <c r="N17" i="74"/>
  <c r="L17" i="74"/>
  <c r="B17" i="74"/>
  <c r="V16" i="74"/>
  <c r="T16" i="74"/>
  <c r="P16" i="74"/>
  <c r="X16" i="74" s="1"/>
  <c r="Z16" i="74" s="1"/>
  <c r="N16" i="74"/>
  <c r="L16" i="74"/>
  <c r="H16" i="74"/>
  <c r="D16" i="74"/>
  <c r="P14" i="74"/>
  <c r="X14" i="74" s="1"/>
  <c r="Z14" i="74" s="1"/>
  <c r="N14" i="74"/>
  <c r="L14" i="74"/>
  <c r="D14" i="74"/>
  <c r="B14" i="74"/>
  <c r="P13" i="74"/>
  <c r="X13" i="74" s="1"/>
  <c r="Z13" i="74" s="1"/>
  <c r="D13" i="74"/>
  <c r="L13" i="74" s="1"/>
  <c r="N13" i="74" s="1"/>
  <c r="B13" i="74"/>
  <c r="T12" i="74"/>
  <c r="H12" i="74"/>
  <c r="D6" i="74"/>
  <c r="D4" i="74"/>
  <c r="X27" i="73"/>
  <c r="Z27" i="73" s="1"/>
  <c r="N27" i="73"/>
  <c r="L27" i="73"/>
  <c r="Z23" i="73"/>
  <c r="T23" i="73"/>
  <c r="P23" i="73"/>
  <c r="X23" i="73" s="1"/>
  <c r="N23" i="73"/>
  <c r="L23" i="73"/>
  <c r="J23" i="73"/>
  <c r="H23" i="73"/>
  <c r="D23" i="73"/>
  <c r="V21" i="73"/>
  <c r="T21" i="73"/>
  <c r="Z21" i="73" s="1"/>
  <c r="P21" i="73"/>
  <c r="X21" i="73" s="1"/>
  <c r="N21" i="73"/>
  <c r="H21" i="73"/>
  <c r="D21" i="73"/>
  <c r="L21" i="73" s="1"/>
  <c r="H19" i="73"/>
  <c r="X17" i="73"/>
  <c r="Z17" i="73" s="1"/>
  <c r="L17" i="73"/>
  <c r="N17" i="73" s="1"/>
  <c r="B17" i="73"/>
  <c r="T16" i="73"/>
  <c r="P16" i="73"/>
  <c r="H16" i="73"/>
  <c r="D16" i="73"/>
  <c r="L16" i="73" s="1"/>
  <c r="N16" i="73" s="1"/>
  <c r="Z14" i="73"/>
  <c r="P14" i="73"/>
  <c r="X14" i="73" s="1"/>
  <c r="N14" i="73"/>
  <c r="L14" i="73"/>
  <c r="D14" i="73"/>
  <c r="B14" i="73"/>
  <c r="X13" i="73"/>
  <c r="Z13" i="73" s="1"/>
  <c r="P13" i="73"/>
  <c r="D13" i="73"/>
  <c r="L13" i="73" s="1"/>
  <c r="N13" i="73" s="1"/>
  <c r="B13" i="73"/>
  <c r="T12" i="73"/>
  <c r="H12" i="73"/>
  <c r="D6" i="73"/>
  <c r="D4" i="73"/>
  <c r="R74" i="72"/>
  <c r="Z72" i="72"/>
  <c r="X72" i="72"/>
  <c r="N72" i="72"/>
  <c r="L72" i="72"/>
  <c r="T68" i="72"/>
  <c r="Z68" i="72" s="1"/>
  <c r="R68" i="72"/>
  <c r="P68" i="72"/>
  <c r="X68" i="72" s="1"/>
  <c r="N68" i="72"/>
  <c r="H68" i="72"/>
  <c r="D68" i="72"/>
  <c r="L68" i="72" s="1"/>
  <c r="Z66" i="72"/>
  <c r="X66" i="72"/>
  <c r="N66" i="72"/>
  <c r="L66" i="72"/>
  <c r="F66" i="72"/>
  <c r="B66" i="72"/>
  <c r="T65" i="72"/>
  <c r="P65" i="72"/>
  <c r="X65" i="72" s="1"/>
  <c r="N65" i="72"/>
  <c r="L65" i="72"/>
  <c r="H65" i="72"/>
  <c r="D65" i="72"/>
  <c r="B65" i="72"/>
  <c r="X64" i="72"/>
  <c r="Z64" i="72" s="1"/>
  <c r="V64" i="72"/>
  <c r="N64" i="72"/>
  <c r="L64" i="72"/>
  <c r="B64" i="72"/>
  <c r="X63" i="72"/>
  <c r="Z63" i="72" s="1"/>
  <c r="T63" i="72"/>
  <c r="P63" i="72"/>
  <c r="H63" i="72"/>
  <c r="J63" i="72" s="1"/>
  <c r="D63" i="72"/>
  <c r="B63" i="72"/>
  <c r="Z62" i="72"/>
  <c r="X62" i="72"/>
  <c r="R62" i="72"/>
  <c r="N62" i="72"/>
  <c r="L62" i="72"/>
  <c r="B62" i="72"/>
  <c r="Z61" i="72"/>
  <c r="X61" i="72"/>
  <c r="V61" i="72"/>
  <c r="R61" i="72"/>
  <c r="N61" i="72"/>
  <c r="L61" i="72"/>
  <c r="B61" i="72"/>
  <c r="Z60" i="72"/>
  <c r="X60" i="72"/>
  <c r="V60" i="72"/>
  <c r="N60" i="72"/>
  <c r="L60" i="72"/>
  <c r="B60" i="72"/>
  <c r="Z59" i="72"/>
  <c r="X59" i="72"/>
  <c r="T59" i="72"/>
  <c r="P59" i="72"/>
  <c r="H59" i="72"/>
  <c r="D59" i="72"/>
  <c r="B59" i="72"/>
  <c r="Z58" i="72"/>
  <c r="X58" i="72"/>
  <c r="R58" i="72"/>
  <c r="N58" i="72"/>
  <c r="L58" i="72"/>
  <c r="B58" i="72"/>
  <c r="X57" i="72"/>
  <c r="Z57" i="72" s="1"/>
  <c r="V57" i="72"/>
  <c r="R57" i="72"/>
  <c r="L57" i="72"/>
  <c r="N57" i="72" s="1"/>
  <c r="B57" i="72"/>
  <c r="X56" i="72"/>
  <c r="Z56" i="72" s="1"/>
  <c r="V56" i="72"/>
  <c r="T56" i="72"/>
  <c r="P56" i="72"/>
  <c r="H56" i="72"/>
  <c r="F56" i="72"/>
  <c r="D56" i="72"/>
  <c r="B56" i="72"/>
  <c r="X55" i="72"/>
  <c r="Z55" i="72" s="1"/>
  <c r="L55" i="72"/>
  <c r="N55" i="72" s="1"/>
  <c r="B55" i="72"/>
  <c r="T54" i="72"/>
  <c r="R54" i="72"/>
  <c r="P54" i="72"/>
  <c r="H54" i="72"/>
  <c r="D54" i="72"/>
  <c r="L54" i="72" s="1"/>
  <c r="N54" i="72" s="1"/>
  <c r="B54" i="72"/>
  <c r="X53" i="72"/>
  <c r="Z53" i="72" s="1"/>
  <c r="L53" i="72"/>
  <c r="N53" i="72" s="1"/>
  <c r="J53" i="72"/>
  <c r="F53" i="72"/>
  <c r="B53" i="72"/>
  <c r="Z52" i="72"/>
  <c r="X52" i="72"/>
  <c r="N52" i="72"/>
  <c r="L52" i="72"/>
  <c r="J52" i="72"/>
  <c r="B52" i="72"/>
  <c r="T51" i="72"/>
  <c r="Z51" i="72" s="1"/>
  <c r="R51" i="72"/>
  <c r="P51" i="72"/>
  <c r="X51" i="72" s="1"/>
  <c r="H51" i="72"/>
  <c r="N51" i="72" s="1"/>
  <c r="D51" i="72"/>
  <c r="L51" i="72" s="1"/>
  <c r="B51" i="72"/>
  <c r="Z50" i="72"/>
  <c r="X50" i="72"/>
  <c r="N50" i="72"/>
  <c r="L50" i="72"/>
  <c r="B50" i="72"/>
  <c r="T49" i="72"/>
  <c r="Z49" i="72" s="1"/>
  <c r="P49" i="72"/>
  <c r="X49" i="72" s="1"/>
  <c r="N49" i="72"/>
  <c r="L49" i="72"/>
  <c r="H49" i="72"/>
  <c r="D49" i="72"/>
  <c r="B49" i="72"/>
  <c r="X48" i="72"/>
  <c r="Z48" i="72" s="1"/>
  <c r="V48" i="72"/>
  <c r="N48" i="72"/>
  <c r="L48" i="72"/>
  <c r="B48" i="72"/>
  <c r="Z47" i="72"/>
  <c r="X47" i="72"/>
  <c r="T47" i="72"/>
  <c r="P47" i="72"/>
  <c r="H47" i="72"/>
  <c r="D47" i="72"/>
  <c r="B47" i="72"/>
  <c r="Z46" i="72"/>
  <c r="X46" i="72"/>
  <c r="R46" i="72"/>
  <c r="N46" i="72"/>
  <c r="L46" i="72"/>
  <c r="B46" i="72"/>
  <c r="T45" i="72"/>
  <c r="P45" i="72"/>
  <c r="H45" i="72"/>
  <c r="D45" i="72"/>
  <c r="L45" i="72" s="1"/>
  <c r="B45" i="72"/>
  <c r="Z44" i="72"/>
  <c r="X44" i="72"/>
  <c r="N44" i="72"/>
  <c r="L44" i="72"/>
  <c r="J44" i="72"/>
  <c r="B44" i="72"/>
  <c r="T43" i="72"/>
  <c r="Z43" i="72" s="1"/>
  <c r="R43" i="72"/>
  <c r="P43" i="72"/>
  <c r="X43" i="72" s="1"/>
  <c r="H43" i="72"/>
  <c r="N43" i="72" s="1"/>
  <c r="D43" i="72"/>
  <c r="L43" i="72" s="1"/>
  <c r="B43" i="72"/>
  <c r="Z42" i="72"/>
  <c r="X42" i="72"/>
  <c r="N42" i="72"/>
  <c r="L42" i="72"/>
  <c r="B42" i="72"/>
  <c r="Z41" i="72"/>
  <c r="X41" i="72"/>
  <c r="N41" i="72"/>
  <c r="L41" i="72"/>
  <c r="J41" i="72"/>
  <c r="B41" i="72"/>
  <c r="Z40" i="72"/>
  <c r="X40" i="72"/>
  <c r="L40" i="72"/>
  <c r="N40" i="72" s="1"/>
  <c r="J40" i="72"/>
  <c r="B40" i="72"/>
  <c r="Z39" i="72"/>
  <c r="X39" i="72"/>
  <c r="R39" i="72"/>
  <c r="N39" i="72"/>
  <c r="L39" i="72"/>
  <c r="B39" i="72"/>
  <c r="Z38" i="72"/>
  <c r="X38" i="72"/>
  <c r="R38" i="72"/>
  <c r="N38" i="72"/>
  <c r="L38" i="72"/>
  <c r="B38" i="72"/>
  <c r="Z37" i="72"/>
  <c r="X37" i="72"/>
  <c r="V37" i="72"/>
  <c r="R37" i="72"/>
  <c r="N37" i="72"/>
  <c r="L37" i="72"/>
  <c r="B37" i="72"/>
  <c r="X36" i="72"/>
  <c r="Z36" i="72" s="1"/>
  <c r="V36" i="72"/>
  <c r="N36" i="72"/>
  <c r="L36" i="72"/>
  <c r="B36" i="72"/>
  <c r="Z35" i="72"/>
  <c r="X35" i="72"/>
  <c r="R35" i="72"/>
  <c r="N35" i="72"/>
  <c r="L35" i="72"/>
  <c r="B35" i="72"/>
  <c r="Z34" i="72"/>
  <c r="X34" i="72"/>
  <c r="N34" i="72"/>
  <c r="L34" i="72"/>
  <c r="B34" i="72"/>
  <c r="Z33" i="72"/>
  <c r="X33" i="72"/>
  <c r="N33" i="72"/>
  <c r="L33" i="72"/>
  <c r="J33" i="72"/>
  <c r="B33" i="72"/>
  <c r="T32" i="72"/>
  <c r="R32" i="72"/>
  <c r="P32" i="72"/>
  <c r="X32" i="72" s="1"/>
  <c r="Z32" i="72" s="1"/>
  <c r="N32" i="72"/>
  <c r="H32" i="72"/>
  <c r="L32" i="72" s="1"/>
  <c r="D32" i="72"/>
  <c r="B32" i="72"/>
  <c r="Z31" i="72"/>
  <c r="X31" i="72"/>
  <c r="R31" i="72"/>
  <c r="N31" i="72"/>
  <c r="L31" i="72"/>
  <c r="B31" i="72"/>
  <c r="Z30" i="72"/>
  <c r="X30" i="72"/>
  <c r="N30" i="72"/>
  <c r="L30" i="72"/>
  <c r="F30" i="72"/>
  <c r="B30" i="72"/>
  <c r="Z29" i="72"/>
  <c r="X29" i="72"/>
  <c r="N29" i="72"/>
  <c r="L29" i="72"/>
  <c r="J29" i="72"/>
  <c r="B29" i="72"/>
  <c r="Z28" i="72"/>
  <c r="X28" i="72"/>
  <c r="N28" i="72"/>
  <c r="L28" i="72"/>
  <c r="J28" i="72"/>
  <c r="B28" i="72"/>
  <c r="Z27" i="72"/>
  <c r="X27" i="72"/>
  <c r="R27" i="72"/>
  <c r="N27" i="72"/>
  <c r="L27" i="72"/>
  <c r="B27" i="72"/>
  <c r="Z26" i="72"/>
  <c r="X26" i="72"/>
  <c r="R26" i="72"/>
  <c r="N26" i="72"/>
  <c r="L26" i="72"/>
  <c r="B26" i="72"/>
  <c r="Z25" i="72"/>
  <c r="X25" i="72"/>
  <c r="V25" i="72"/>
  <c r="R25" i="72"/>
  <c r="N25" i="72"/>
  <c r="L25" i="72"/>
  <c r="B25" i="72"/>
  <c r="X24" i="72"/>
  <c r="Z24" i="72" s="1"/>
  <c r="V24" i="72"/>
  <c r="N24" i="72"/>
  <c r="L24" i="72"/>
  <c r="B24" i="72"/>
  <c r="X23" i="72"/>
  <c r="Z23" i="72" s="1"/>
  <c r="R23" i="72"/>
  <c r="L23" i="72"/>
  <c r="N23" i="72" s="1"/>
  <c r="B23" i="72"/>
  <c r="Z22" i="72"/>
  <c r="T22" i="72"/>
  <c r="X22" i="72" s="1"/>
  <c r="P22" i="72"/>
  <c r="L22" i="72"/>
  <c r="N22" i="72" s="1"/>
  <c r="J22" i="72"/>
  <c r="H22" i="72"/>
  <c r="D22" i="72"/>
  <c r="B22" i="72"/>
  <c r="T21" i="72"/>
  <c r="P21" i="72"/>
  <c r="H21" i="72"/>
  <c r="F21" i="72"/>
  <c r="D21" i="72"/>
  <c r="L21" i="72" s="1"/>
  <c r="P19" i="72"/>
  <c r="X17" i="72"/>
  <c r="Z17" i="72" s="1"/>
  <c r="V17" i="72"/>
  <c r="R17" i="72"/>
  <c r="L17" i="72"/>
  <c r="N17" i="72" s="1"/>
  <c r="B17" i="72"/>
  <c r="X16" i="72"/>
  <c r="Z16" i="72" s="1"/>
  <c r="V16" i="72"/>
  <c r="T16" i="72"/>
  <c r="R16" i="72"/>
  <c r="P16" i="72"/>
  <c r="H16" i="72"/>
  <c r="F16" i="72"/>
  <c r="D16" i="72"/>
  <c r="L16" i="72" s="1"/>
  <c r="P14" i="72"/>
  <c r="X14" i="72" s="1"/>
  <c r="Z14" i="72" s="1"/>
  <c r="D14" i="72"/>
  <c r="L14" i="72" s="1"/>
  <c r="N14" i="72" s="1"/>
  <c r="B14" i="72"/>
  <c r="X13" i="72"/>
  <c r="Z13" i="72" s="1"/>
  <c r="P13" i="72"/>
  <c r="D13" i="72"/>
  <c r="L13" i="72" s="1"/>
  <c r="N13" i="72" s="1"/>
  <c r="B13" i="72"/>
  <c r="T12" i="72"/>
  <c r="V63" i="72" s="1"/>
  <c r="P12" i="72"/>
  <c r="R64" i="72" s="1"/>
  <c r="H12" i="72"/>
  <c r="J65" i="72" s="1"/>
  <c r="D12" i="72"/>
  <c r="F42" i="72" s="1"/>
  <c r="D6" i="72"/>
  <c r="D4" i="72"/>
  <c r="B39" i="71"/>
  <c r="B38" i="71"/>
  <c r="T34" i="71"/>
  <c r="Z34" i="71" s="1"/>
  <c r="P34" i="71"/>
  <c r="H34" i="71"/>
  <c r="N34" i="71" s="1"/>
  <c r="D34" i="71"/>
  <c r="T33" i="71"/>
  <c r="Z33" i="71" s="1"/>
  <c r="P33" i="71"/>
  <c r="H33" i="71"/>
  <c r="N33" i="71" s="1"/>
  <c r="D33" i="71"/>
  <c r="T29" i="71"/>
  <c r="Z29" i="71" s="1"/>
  <c r="P29" i="71"/>
  <c r="H29" i="71"/>
  <c r="N29" i="71" s="1"/>
  <c r="D29" i="71"/>
  <c r="T25" i="71"/>
  <c r="Z25" i="71" s="1"/>
  <c r="P25" i="71"/>
  <c r="H25" i="71"/>
  <c r="N25" i="71" s="1"/>
  <c r="D25" i="71"/>
  <c r="B25" i="71"/>
  <c r="T24" i="71"/>
  <c r="Z24" i="71" s="1"/>
  <c r="P24" i="71"/>
  <c r="H24" i="71"/>
  <c r="N24" i="71" s="1"/>
  <c r="D24" i="71"/>
  <c r="T22" i="71"/>
  <c r="Z22" i="71" s="1"/>
  <c r="P22" i="71"/>
  <c r="H22" i="71"/>
  <c r="N22" i="71" s="1"/>
  <c r="D22" i="71"/>
  <c r="B22" i="71"/>
  <c r="T21" i="71"/>
  <c r="Z21" i="71" s="1"/>
  <c r="P21" i="71"/>
  <c r="H21" i="71"/>
  <c r="N21" i="71" s="1"/>
  <c r="D21" i="71"/>
  <c r="B21" i="71"/>
  <c r="T20" i="71"/>
  <c r="Z20" i="71" s="1"/>
  <c r="P20" i="71"/>
  <c r="H20" i="71"/>
  <c r="D20" i="71"/>
  <c r="T16" i="71"/>
  <c r="Z16" i="71" s="1"/>
  <c r="P16" i="71"/>
  <c r="H16" i="71"/>
  <c r="N16" i="71" s="1"/>
  <c r="D16" i="71"/>
  <c r="B16" i="71"/>
  <c r="T15" i="71"/>
  <c r="P15" i="71"/>
  <c r="H15" i="71"/>
  <c r="N15" i="71" s="1"/>
  <c r="D15" i="71"/>
  <c r="T13" i="71"/>
  <c r="Z13" i="71" s="1"/>
  <c r="P13" i="71"/>
  <c r="H13" i="71"/>
  <c r="N13" i="71" s="1"/>
  <c r="D13" i="71"/>
  <c r="B13" i="71"/>
  <c r="T12" i="71"/>
  <c r="V20" i="71" s="1"/>
  <c r="P12" i="71"/>
  <c r="R22" i="71" s="1"/>
  <c r="H12" i="71"/>
  <c r="J31" i="71" s="1"/>
  <c r="D12" i="71"/>
  <c r="F22" i="71" s="1"/>
  <c r="D6" i="71"/>
  <c r="D5" i="71"/>
  <c r="D4" i="71"/>
  <c r="X80" i="70"/>
  <c r="Z80" i="70" s="1"/>
  <c r="N80" i="70"/>
  <c r="L80" i="70"/>
  <c r="Z76" i="70"/>
  <c r="X76" i="70"/>
  <c r="P76" i="70"/>
  <c r="L76" i="70"/>
  <c r="N76" i="70" s="1"/>
  <c r="J76" i="70"/>
  <c r="D76" i="70"/>
  <c r="B76" i="70"/>
  <c r="Z75" i="70"/>
  <c r="P75" i="70"/>
  <c r="X75" i="70" s="1"/>
  <c r="N75" i="70"/>
  <c r="L75" i="70"/>
  <c r="D75" i="70"/>
  <c r="B75" i="70"/>
  <c r="Z74" i="70"/>
  <c r="X74" i="70"/>
  <c r="V74" i="70"/>
  <c r="P74" i="70"/>
  <c r="P73" i="70" s="1"/>
  <c r="X73" i="70" s="1"/>
  <c r="Z73" i="70" s="1"/>
  <c r="N74" i="70"/>
  <c r="D74" i="70"/>
  <c r="B74" i="70"/>
  <c r="T73" i="70"/>
  <c r="H73" i="70"/>
  <c r="X71" i="70"/>
  <c r="Z71" i="70" s="1"/>
  <c r="L71" i="70"/>
  <c r="N71" i="70" s="1"/>
  <c r="B71" i="70"/>
  <c r="X70" i="70"/>
  <c r="Z70" i="70" s="1"/>
  <c r="T70" i="70"/>
  <c r="P70" i="70"/>
  <c r="H70" i="70"/>
  <c r="D70" i="70"/>
  <c r="B70" i="70"/>
  <c r="Z69" i="70"/>
  <c r="X69" i="70"/>
  <c r="L69" i="70"/>
  <c r="N69" i="70" s="1"/>
  <c r="B69" i="70"/>
  <c r="X68" i="70"/>
  <c r="Z68" i="70" s="1"/>
  <c r="N68" i="70"/>
  <c r="L68" i="70"/>
  <c r="B68" i="70"/>
  <c r="V67" i="70"/>
  <c r="T67" i="70"/>
  <c r="P67" i="70"/>
  <c r="H67" i="70"/>
  <c r="D67" i="70"/>
  <c r="L67" i="70" s="1"/>
  <c r="B67" i="70"/>
  <c r="Z66" i="70"/>
  <c r="X66" i="70"/>
  <c r="L66" i="70"/>
  <c r="N66" i="70" s="1"/>
  <c r="J66" i="70"/>
  <c r="B66" i="70"/>
  <c r="T65" i="70"/>
  <c r="Z65" i="70" s="1"/>
  <c r="P65" i="70"/>
  <c r="X65" i="70" s="1"/>
  <c r="L65" i="70"/>
  <c r="H65" i="70"/>
  <c r="N65" i="70" s="1"/>
  <c r="D65" i="70"/>
  <c r="B65" i="70"/>
  <c r="Z64" i="70"/>
  <c r="X64" i="70"/>
  <c r="N64" i="70"/>
  <c r="L64" i="70"/>
  <c r="B64" i="70"/>
  <c r="X63" i="70"/>
  <c r="T63" i="70"/>
  <c r="Z63" i="70" s="1"/>
  <c r="P63" i="70"/>
  <c r="N63" i="70"/>
  <c r="L63" i="70"/>
  <c r="H63" i="70"/>
  <c r="D63" i="70"/>
  <c r="B63" i="70"/>
  <c r="X62" i="70"/>
  <c r="Z62" i="70" s="1"/>
  <c r="N62" i="70"/>
  <c r="L62" i="70"/>
  <c r="B62" i="70"/>
  <c r="X61" i="70"/>
  <c r="Z61" i="70" s="1"/>
  <c r="T61" i="70"/>
  <c r="P61" i="70"/>
  <c r="J61" i="70"/>
  <c r="H61" i="70"/>
  <c r="D61" i="70"/>
  <c r="L61" i="70" s="1"/>
  <c r="B61" i="70"/>
  <c r="Z60" i="70"/>
  <c r="X60" i="70"/>
  <c r="N60" i="70"/>
  <c r="L60" i="70"/>
  <c r="B60" i="70"/>
  <c r="T59" i="70"/>
  <c r="P59" i="70"/>
  <c r="H59" i="70"/>
  <c r="D59" i="70"/>
  <c r="L59" i="70" s="1"/>
  <c r="B59" i="70"/>
  <c r="Z58" i="70"/>
  <c r="X58" i="70"/>
  <c r="N58" i="70"/>
  <c r="L58" i="70"/>
  <c r="J58" i="70"/>
  <c r="B58" i="70"/>
  <c r="T57" i="70"/>
  <c r="Z57" i="70" s="1"/>
  <c r="P57" i="70"/>
  <c r="X57" i="70" s="1"/>
  <c r="L57" i="70"/>
  <c r="H57" i="70"/>
  <c r="N57" i="70" s="1"/>
  <c r="D57" i="70"/>
  <c r="B57" i="70"/>
  <c r="Z56" i="70"/>
  <c r="X56" i="70"/>
  <c r="N56" i="70"/>
  <c r="L56" i="70"/>
  <c r="B56" i="70"/>
  <c r="X55" i="70"/>
  <c r="T55" i="70"/>
  <c r="Z55" i="70" s="1"/>
  <c r="P55" i="70"/>
  <c r="N55" i="70"/>
  <c r="L55" i="70"/>
  <c r="H55" i="70"/>
  <c r="D55" i="70"/>
  <c r="B55" i="70"/>
  <c r="Z54" i="70"/>
  <c r="X54" i="70"/>
  <c r="V54" i="70"/>
  <c r="N54" i="70"/>
  <c r="L54" i="70"/>
  <c r="B54" i="70"/>
  <c r="Z53" i="70"/>
  <c r="X53" i="70"/>
  <c r="N53" i="70"/>
  <c r="L53" i="70"/>
  <c r="B53" i="70"/>
  <c r="Z52" i="70"/>
  <c r="X52" i="70"/>
  <c r="N52" i="70"/>
  <c r="L52" i="70"/>
  <c r="B52" i="70"/>
  <c r="X51" i="70"/>
  <c r="Z51" i="70" s="1"/>
  <c r="L51" i="70"/>
  <c r="N51" i="70" s="1"/>
  <c r="J51" i="70"/>
  <c r="B51" i="70"/>
  <c r="Z50" i="70"/>
  <c r="X50" i="70"/>
  <c r="N50" i="70"/>
  <c r="L50" i="70"/>
  <c r="J50" i="70"/>
  <c r="B50" i="70"/>
  <c r="Z49" i="70"/>
  <c r="X49" i="70"/>
  <c r="N49" i="70"/>
  <c r="L49" i="70"/>
  <c r="B49" i="70"/>
  <c r="Z48" i="70"/>
  <c r="X48" i="70"/>
  <c r="N48" i="70"/>
  <c r="L48" i="70"/>
  <c r="B48" i="70"/>
  <c r="Z47" i="70"/>
  <c r="X47" i="70"/>
  <c r="N47" i="70"/>
  <c r="L47" i="70"/>
  <c r="B47" i="70"/>
  <c r="X46" i="70"/>
  <c r="Z46" i="70" s="1"/>
  <c r="N46" i="70"/>
  <c r="L46" i="70"/>
  <c r="B46" i="70"/>
  <c r="Z45" i="70"/>
  <c r="X45" i="70"/>
  <c r="N45" i="70"/>
  <c r="L45" i="70"/>
  <c r="B45" i="70"/>
  <c r="T44" i="70"/>
  <c r="P44" i="70"/>
  <c r="X44" i="70" s="1"/>
  <c r="Z44" i="70" s="1"/>
  <c r="L44" i="70"/>
  <c r="N44" i="70" s="1"/>
  <c r="J44" i="70"/>
  <c r="H44" i="70"/>
  <c r="D44" i="70"/>
  <c r="B44" i="70"/>
  <c r="X43" i="70"/>
  <c r="Z43" i="70" s="1"/>
  <c r="L43" i="70"/>
  <c r="N43" i="70" s="1"/>
  <c r="B43" i="70"/>
  <c r="X42" i="70"/>
  <c r="Z42" i="70" s="1"/>
  <c r="N42" i="70"/>
  <c r="L42" i="70"/>
  <c r="B42" i="70"/>
  <c r="X41" i="70"/>
  <c r="Z41" i="70" s="1"/>
  <c r="L41" i="70"/>
  <c r="N41" i="70" s="1"/>
  <c r="B41" i="70"/>
  <c r="Z40" i="70"/>
  <c r="X40" i="70"/>
  <c r="N40" i="70"/>
  <c r="L40" i="70"/>
  <c r="B40" i="70"/>
  <c r="Z39" i="70"/>
  <c r="X39" i="70"/>
  <c r="N39" i="70"/>
  <c r="L39" i="70"/>
  <c r="J39" i="70"/>
  <c r="B39" i="70"/>
  <c r="Z38" i="70"/>
  <c r="X38" i="70"/>
  <c r="L38" i="70"/>
  <c r="N38" i="70" s="1"/>
  <c r="J38" i="70"/>
  <c r="B38" i="70"/>
  <c r="X37" i="70"/>
  <c r="Z37" i="70" s="1"/>
  <c r="L37" i="70"/>
  <c r="N37" i="70" s="1"/>
  <c r="B37" i="70"/>
  <c r="Z36" i="70"/>
  <c r="X36" i="70"/>
  <c r="N36" i="70"/>
  <c r="L36" i="70"/>
  <c r="J36" i="70"/>
  <c r="B36" i="70"/>
  <c r="X35" i="70"/>
  <c r="Z35" i="70" s="1"/>
  <c r="L35" i="70"/>
  <c r="N35" i="70" s="1"/>
  <c r="B35" i="70"/>
  <c r="X34" i="70"/>
  <c r="Z34" i="70" s="1"/>
  <c r="N34" i="70"/>
  <c r="L34" i="70"/>
  <c r="B34" i="70"/>
  <c r="X33" i="70"/>
  <c r="Z33" i="70" s="1"/>
  <c r="T33" i="70"/>
  <c r="P33" i="70"/>
  <c r="H33" i="70"/>
  <c r="D33" i="70"/>
  <c r="L33" i="70" s="1"/>
  <c r="B33" i="70"/>
  <c r="T32" i="70"/>
  <c r="P32" i="70"/>
  <c r="X32" i="70" s="1"/>
  <c r="H32" i="70"/>
  <c r="D32" i="70"/>
  <c r="L32" i="70" s="1"/>
  <c r="N32" i="70" s="1"/>
  <c r="Z28" i="70"/>
  <c r="X28" i="70"/>
  <c r="N28" i="70"/>
  <c r="L28" i="70"/>
  <c r="J28" i="70"/>
  <c r="B28" i="70"/>
  <c r="Z27" i="70"/>
  <c r="X27" i="70"/>
  <c r="N27" i="70"/>
  <c r="L27" i="70"/>
  <c r="B27" i="70"/>
  <c r="Z26" i="70"/>
  <c r="X26" i="70"/>
  <c r="N26" i="70"/>
  <c r="L26" i="70"/>
  <c r="B26" i="70"/>
  <c r="Z25" i="70"/>
  <c r="X25" i="70"/>
  <c r="N25" i="70"/>
  <c r="L25" i="70"/>
  <c r="B25" i="70"/>
  <c r="Z24" i="70"/>
  <c r="X24" i="70"/>
  <c r="N24" i="70"/>
  <c r="L24" i="70"/>
  <c r="J24" i="70"/>
  <c r="B24" i="70"/>
  <c r="Z23" i="70"/>
  <c r="X23" i="70"/>
  <c r="N23" i="70"/>
  <c r="L23" i="70"/>
  <c r="J23" i="70"/>
  <c r="B23" i="70"/>
  <c r="Z22" i="70"/>
  <c r="X22" i="70"/>
  <c r="N22" i="70"/>
  <c r="L22" i="70"/>
  <c r="J22" i="70"/>
  <c r="B22" i="70"/>
  <c r="Z21" i="70"/>
  <c r="X21" i="70"/>
  <c r="N21" i="70"/>
  <c r="L21" i="70"/>
  <c r="B21" i="70"/>
  <c r="Z20" i="70"/>
  <c r="X20" i="70"/>
  <c r="N20" i="70"/>
  <c r="L20" i="70"/>
  <c r="J20" i="70"/>
  <c r="B20" i="70"/>
  <c r="X19" i="70"/>
  <c r="Z19" i="70" s="1"/>
  <c r="L19" i="70"/>
  <c r="N19" i="70" s="1"/>
  <c r="B19" i="70"/>
  <c r="X18" i="70"/>
  <c r="Z18" i="70" s="1"/>
  <c r="T18" i="70"/>
  <c r="P18" i="70"/>
  <c r="J18" i="70"/>
  <c r="H18" i="70"/>
  <c r="D18" i="70"/>
  <c r="L18" i="70" s="1"/>
  <c r="Z16" i="70"/>
  <c r="P16" i="70"/>
  <c r="X16" i="70" s="1"/>
  <c r="N16" i="70"/>
  <c r="D16" i="70"/>
  <c r="L16" i="70" s="1"/>
  <c r="B16" i="70"/>
  <c r="Z15" i="70"/>
  <c r="X15" i="70"/>
  <c r="P15" i="70"/>
  <c r="N15" i="70"/>
  <c r="D15" i="70"/>
  <c r="B15" i="70"/>
  <c r="P14" i="70"/>
  <c r="D14" i="70"/>
  <c r="L14" i="70" s="1"/>
  <c r="N14" i="70" s="1"/>
  <c r="B14" i="70"/>
  <c r="X13" i="70"/>
  <c r="Z13" i="70" s="1"/>
  <c r="P13" i="70"/>
  <c r="D13" i="70"/>
  <c r="L13" i="70" s="1"/>
  <c r="N13" i="70" s="1"/>
  <c r="B13" i="70"/>
  <c r="T12" i="70"/>
  <c r="H12" i="70"/>
  <c r="J73" i="70" s="1"/>
  <c r="D6" i="70"/>
  <c r="D4" i="70"/>
  <c r="Z73" i="69"/>
  <c r="X73" i="69"/>
  <c r="L73" i="69"/>
  <c r="N73" i="69" s="1"/>
  <c r="P69" i="69"/>
  <c r="L69" i="69"/>
  <c r="N69" i="69" s="1"/>
  <c r="D69" i="69"/>
  <c r="B69" i="69"/>
  <c r="T68" i="69"/>
  <c r="H68" i="69"/>
  <c r="D68" i="69"/>
  <c r="X66" i="69"/>
  <c r="Z66" i="69" s="1"/>
  <c r="L66" i="69"/>
  <c r="N66" i="69" s="1"/>
  <c r="B66" i="69"/>
  <c r="T65" i="69"/>
  <c r="X65" i="69" s="1"/>
  <c r="P65" i="69"/>
  <c r="H65" i="69"/>
  <c r="D65" i="69"/>
  <c r="B65" i="69"/>
  <c r="Z64" i="69"/>
  <c r="X64" i="69"/>
  <c r="N64" i="69"/>
  <c r="L64" i="69"/>
  <c r="B64" i="69"/>
  <c r="Z63" i="69"/>
  <c r="X63" i="69"/>
  <c r="N63" i="69"/>
  <c r="L63" i="69"/>
  <c r="B63" i="69"/>
  <c r="X62" i="69"/>
  <c r="Z62" i="69" s="1"/>
  <c r="V62" i="69"/>
  <c r="L62" i="69"/>
  <c r="N62" i="69" s="1"/>
  <c r="B62" i="69"/>
  <c r="Z61" i="69"/>
  <c r="X61" i="69"/>
  <c r="V61" i="69"/>
  <c r="N61" i="69"/>
  <c r="L61" i="69"/>
  <c r="B61" i="69"/>
  <c r="X60" i="69"/>
  <c r="Z60" i="69" s="1"/>
  <c r="T60" i="69"/>
  <c r="P60" i="69"/>
  <c r="H60" i="69"/>
  <c r="D60" i="69"/>
  <c r="B60" i="69"/>
  <c r="Z59" i="69"/>
  <c r="X59" i="69"/>
  <c r="N59" i="69"/>
  <c r="L59" i="69"/>
  <c r="B59" i="69"/>
  <c r="T58" i="69"/>
  <c r="P58" i="69"/>
  <c r="H58" i="69"/>
  <c r="D58" i="69"/>
  <c r="L58" i="69" s="1"/>
  <c r="N58" i="69" s="1"/>
  <c r="B58" i="69"/>
  <c r="Z57" i="69"/>
  <c r="X57" i="69"/>
  <c r="N57" i="69"/>
  <c r="L57" i="69"/>
  <c r="J57" i="69"/>
  <c r="B57" i="69"/>
  <c r="Z56" i="69"/>
  <c r="X56" i="69"/>
  <c r="L56" i="69"/>
  <c r="N56" i="69" s="1"/>
  <c r="B56" i="69"/>
  <c r="T55" i="69"/>
  <c r="P55" i="69"/>
  <c r="H55" i="69"/>
  <c r="D55" i="69"/>
  <c r="L55" i="69" s="1"/>
  <c r="B55" i="69"/>
  <c r="X54" i="69"/>
  <c r="Z54" i="69" s="1"/>
  <c r="L54" i="69"/>
  <c r="N54" i="69" s="1"/>
  <c r="J54" i="69"/>
  <c r="B54" i="69"/>
  <c r="X53" i="69"/>
  <c r="Z53" i="69" s="1"/>
  <c r="L53" i="69"/>
  <c r="N53" i="69" s="1"/>
  <c r="J53" i="69"/>
  <c r="B53" i="69"/>
  <c r="T52" i="69"/>
  <c r="P52" i="69"/>
  <c r="X52" i="69" s="1"/>
  <c r="Z52" i="69" s="1"/>
  <c r="H52" i="69"/>
  <c r="D52" i="69"/>
  <c r="L52" i="69" s="1"/>
  <c r="B52" i="69"/>
  <c r="Z51" i="69"/>
  <c r="X51" i="69"/>
  <c r="N51" i="69"/>
  <c r="L51" i="69"/>
  <c r="B51" i="69"/>
  <c r="V50" i="69"/>
  <c r="T50" i="69"/>
  <c r="P50" i="69"/>
  <c r="X50" i="69" s="1"/>
  <c r="L50" i="69"/>
  <c r="N50" i="69" s="1"/>
  <c r="H50" i="69"/>
  <c r="D50" i="69"/>
  <c r="B50" i="69"/>
  <c r="X49" i="69"/>
  <c r="Z49" i="69" s="1"/>
  <c r="V49" i="69"/>
  <c r="L49" i="69"/>
  <c r="N49" i="69" s="1"/>
  <c r="B49" i="69"/>
  <c r="Z48" i="69"/>
  <c r="X48" i="69"/>
  <c r="T48" i="69"/>
  <c r="P48" i="69"/>
  <c r="H48" i="69"/>
  <c r="D48" i="69"/>
  <c r="B48" i="69"/>
  <c r="Z47" i="69"/>
  <c r="X47" i="69"/>
  <c r="N47" i="69"/>
  <c r="L47" i="69"/>
  <c r="B47" i="69"/>
  <c r="T46" i="69"/>
  <c r="P46" i="69"/>
  <c r="H46" i="69"/>
  <c r="D46" i="69"/>
  <c r="L46" i="69" s="1"/>
  <c r="N46" i="69" s="1"/>
  <c r="B46" i="69"/>
  <c r="Z45" i="69"/>
  <c r="X45" i="69"/>
  <c r="N45" i="69"/>
  <c r="L45" i="69"/>
  <c r="J45" i="69"/>
  <c r="B45" i="69"/>
  <c r="Z44" i="69"/>
  <c r="X44" i="69"/>
  <c r="N44" i="69"/>
  <c r="L44" i="69"/>
  <c r="B44" i="69"/>
  <c r="Z43" i="69"/>
  <c r="X43" i="69"/>
  <c r="N43" i="69"/>
  <c r="L43" i="69"/>
  <c r="B43" i="69"/>
  <c r="X42" i="69"/>
  <c r="Z42" i="69" s="1"/>
  <c r="V42" i="69"/>
  <c r="L42" i="69"/>
  <c r="N42" i="69" s="1"/>
  <c r="J42" i="69"/>
  <c r="B42" i="69"/>
  <c r="Z41" i="69"/>
  <c r="X41" i="69"/>
  <c r="V41" i="69"/>
  <c r="N41" i="69"/>
  <c r="L41" i="69"/>
  <c r="B41" i="69"/>
  <c r="Z40" i="69"/>
  <c r="X40" i="69"/>
  <c r="N40" i="69"/>
  <c r="L40" i="69"/>
  <c r="B40" i="69"/>
  <c r="Z39" i="69"/>
  <c r="X39" i="69"/>
  <c r="N39" i="69"/>
  <c r="L39" i="69"/>
  <c r="B39" i="69"/>
  <c r="Z38" i="69"/>
  <c r="X38" i="69"/>
  <c r="V38" i="69"/>
  <c r="N38" i="69"/>
  <c r="L38" i="69"/>
  <c r="J38" i="69"/>
  <c r="B38" i="69"/>
  <c r="X37" i="69"/>
  <c r="Z37" i="69" s="1"/>
  <c r="L37" i="69"/>
  <c r="N37" i="69" s="1"/>
  <c r="J37" i="69"/>
  <c r="B37" i="69"/>
  <c r="Z36" i="69"/>
  <c r="X36" i="69"/>
  <c r="N36" i="69"/>
  <c r="L36" i="69"/>
  <c r="B36" i="69"/>
  <c r="T35" i="69"/>
  <c r="P35" i="69"/>
  <c r="H35" i="69"/>
  <c r="D35" i="69"/>
  <c r="L35" i="69" s="1"/>
  <c r="B35" i="69"/>
  <c r="X34" i="69"/>
  <c r="Z34" i="69" s="1"/>
  <c r="V34" i="69"/>
  <c r="L34" i="69"/>
  <c r="N34" i="69" s="1"/>
  <c r="J34" i="69"/>
  <c r="B34" i="69"/>
  <c r="X33" i="69"/>
  <c r="Z33" i="69" s="1"/>
  <c r="L33" i="69"/>
  <c r="N33" i="69" s="1"/>
  <c r="J33" i="69"/>
  <c r="B33" i="69"/>
  <c r="Z32" i="69"/>
  <c r="X32" i="69"/>
  <c r="N32" i="69"/>
  <c r="L32" i="69"/>
  <c r="B32" i="69"/>
  <c r="Z31" i="69"/>
  <c r="X31" i="69"/>
  <c r="V31" i="69"/>
  <c r="N31" i="69"/>
  <c r="L31" i="69"/>
  <c r="B31" i="69"/>
  <c r="X30" i="69"/>
  <c r="Z30" i="69" s="1"/>
  <c r="V30" i="69"/>
  <c r="L30" i="69"/>
  <c r="N30" i="69" s="1"/>
  <c r="J30" i="69"/>
  <c r="B30" i="69"/>
  <c r="X29" i="69"/>
  <c r="Z29" i="69" s="1"/>
  <c r="V29" i="69"/>
  <c r="L29" i="69"/>
  <c r="N29" i="69" s="1"/>
  <c r="B29" i="69"/>
  <c r="Z28" i="69"/>
  <c r="X28" i="69"/>
  <c r="N28" i="69"/>
  <c r="L28" i="69"/>
  <c r="B28" i="69"/>
  <c r="Z27" i="69"/>
  <c r="X27" i="69"/>
  <c r="N27" i="69"/>
  <c r="L27" i="69"/>
  <c r="B27" i="69"/>
  <c r="X26" i="69"/>
  <c r="Z26" i="69" s="1"/>
  <c r="V26" i="69"/>
  <c r="L26" i="69"/>
  <c r="N26" i="69" s="1"/>
  <c r="J26" i="69"/>
  <c r="B26" i="69"/>
  <c r="T25" i="69"/>
  <c r="P25" i="69"/>
  <c r="X25" i="69" s="1"/>
  <c r="N25" i="69"/>
  <c r="H25" i="69"/>
  <c r="D25" i="69"/>
  <c r="L25" i="69" s="1"/>
  <c r="B25" i="69"/>
  <c r="X24" i="69"/>
  <c r="Z24" i="69" s="1"/>
  <c r="T24" i="69"/>
  <c r="P24" i="69"/>
  <c r="H24" i="69"/>
  <c r="D24" i="69"/>
  <c r="Z20" i="69"/>
  <c r="X20" i="69"/>
  <c r="N20" i="69"/>
  <c r="L20" i="69"/>
  <c r="B20" i="69"/>
  <c r="Z19" i="69"/>
  <c r="T19" i="69"/>
  <c r="V19" i="69" s="1"/>
  <c r="P19" i="69"/>
  <c r="X19" i="69" s="1"/>
  <c r="N19" i="69"/>
  <c r="L19" i="69"/>
  <c r="J19" i="69"/>
  <c r="H19" i="69"/>
  <c r="D19" i="69"/>
  <c r="Z17" i="69"/>
  <c r="P17" i="69"/>
  <c r="X17" i="69" s="1"/>
  <c r="N17" i="69"/>
  <c r="L17" i="69"/>
  <c r="D17" i="69"/>
  <c r="B17" i="69"/>
  <c r="Z16" i="69"/>
  <c r="X16" i="69"/>
  <c r="P16" i="69"/>
  <c r="N16" i="69"/>
  <c r="D16" i="69"/>
  <c r="L16" i="69" s="1"/>
  <c r="B16" i="69"/>
  <c r="Z15" i="69"/>
  <c r="X15" i="69"/>
  <c r="P15" i="69"/>
  <c r="N15" i="69"/>
  <c r="D15" i="69"/>
  <c r="B15" i="69"/>
  <c r="P14" i="69"/>
  <c r="X14" i="69" s="1"/>
  <c r="Z14" i="69" s="1"/>
  <c r="D14" i="69"/>
  <c r="L14" i="69" s="1"/>
  <c r="N14" i="69" s="1"/>
  <c r="B14" i="69"/>
  <c r="P13" i="69"/>
  <c r="X13" i="69" s="1"/>
  <c r="Z13" i="69" s="1"/>
  <c r="N13" i="69"/>
  <c r="L13" i="69"/>
  <c r="D13" i="69"/>
  <c r="B13" i="69"/>
  <c r="T12" i="69"/>
  <c r="V68" i="69" s="1"/>
  <c r="H12" i="69"/>
  <c r="J51" i="69" s="1"/>
  <c r="D6" i="69"/>
  <c r="D4" i="69"/>
  <c r="X108" i="68"/>
  <c r="Z108" i="68" s="1"/>
  <c r="L108" i="68"/>
  <c r="N108" i="68" s="1"/>
  <c r="J108" i="68"/>
  <c r="Z104" i="68"/>
  <c r="X104" i="68"/>
  <c r="V104" i="68"/>
  <c r="P104" i="68"/>
  <c r="N104" i="68"/>
  <c r="L104" i="68"/>
  <c r="D104" i="68"/>
  <c r="B104" i="68"/>
  <c r="Z103" i="68"/>
  <c r="P103" i="68"/>
  <c r="X103" i="68" s="1"/>
  <c r="N103" i="68"/>
  <c r="L103" i="68"/>
  <c r="J103" i="68"/>
  <c r="D103" i="68"/>
  <c r="B103" i="68"/>
  <c r="P102" i="68"/>
  <c r="N102" i="68"/>
  <c r="D102" i="68"/>
  <c r="L102" i="68" s="1"/>
  <c r="B102" i="68"/>
  <c r="V101" i="68"/>
  <c r="T101" i="68"/>
  <c r="H101" i="68"/>
  <c r="N101" i="68" s="1"/>
  <c r="X99" i="68"/>
  <c r="Z99" i="68" s="1"/>
  <c r="L99" i="68"/>
  <c r="N99" i="68" s="1"/>
  <c r="J99" i="68"/>
  <c r="B99" i="68"/>
  <c r="T98" i="68"/>
  <c r="P98" i="68"/>
  <c r="X98" i="68" s="1"/>
  <c r="Z98" i="68" s="1"/>
  <c r="H98" i="68"/>
  <c r="N98" i="68" s="1"/>
  <c r="D98" i="68"/>
  <c r="L98" i="68" s="1"/>
  <c r="B98" i="68"/>
  <c r="Z97" i="68"/>
  <c r="X97" i="68"/>
  <c r="N97" i="68"/>
  <c r="L97" i="68"/>
  <c r="B97" i="68"/>
  <c r="T96" i="68"/>
  <c r="P96" i="68"/>
  <c r="X96" i="68" s="1"/>
  <c r="L96" i="68"/>
  <c r="N96" i="68" s="1"/>
  <c r="H96" i="68"/>
  <c r="D96" i="68"/>
  <c r="B96" i="68"/>
  <c r="X95" i="68"/>
  <c r="Z95" i="68" s="1"/>
  <c r="V95" i="68"/>
  <c r="L95" i="68"/>
  <c r="N95" i="68" s="1"/>
  <c r="B95" i="68"/>
  <c r="Z94" i="68"/>
  <c r="X94" i="68"/>
  <c r="N94" i="68"/>
  <c r="L94" i="68"/>
  <c r="B94" i="68"/>
  <c r="Z93" i="68"/>
  <c r="X93" i="68"/>
  <c r="N93" i="68"/>
  <c r="L93" i="68"/>
  <c r="B93" i="68"/>
  <c r="T92" i="68"/>
  <c r="P92" i="68"/>
  <c r="X92" i="68" s="1"/>
  <c r="L92" i="68"/>
  <c r="N92" i="68" s="1"/>
  <c r="H92" i="68"/>
  <c r="D92" i="68"/>
  <c r="B92" i="68"/>
  <c r="Z91" i="68"/>
  <c r="X91" i="68"/>
  <c r="V91" i="68"/>
  <c r="N91" i="68"/>
  <c r="L91" i="68"/>
  <c r="B91" i="68"/>
  <c r="Z90" i="68"/>
  <c r="X90" i="68"/>
  <c r="N90" i="68"/>
  <c r="L90" i="68"/>
  <c r="B90" i="68"/>
  <c r="Z89" i="68"/>
  <c r="T89" i="68"/>
  <c r="P89" i="68"/>
  <c r="X89" i="68" s="1"/>
  <c r="N89" i="68"/>
  <c r="L89" i="68"/>
  <c r="J89" i="68"/>
  <c r="H89" i="68"/>
  <c r="D89" i="68"/>
  <c r="B89" i="68"/>
  <c r="Z88" i="68"/>
  <c r="X88" i="68"/>
  <c r="V88" i="68"/>
  <c r="N88" i="68"/>
  <c r="L88" i="68"/>
  <c r="B88" i="68"/>
  <c r="X87" i="68"/>
  <c r="Z87" i="68" s="1"/>
  <c r="V87" i="68"/>
  <c r="N87" i="68"/>
  <c r="L87" i="68"/>
  <c r="B87" i="68"/>
  <c r="X86" i="68"/>
  <c r="Z86" i="68" s="1"/>
  <c r="N86" i="68"/>
  <c r="L86" i="68"/>
  <c r="B86" i="68"/>
  <c r="T85" i="68"/>
  <c r="P85" i="68"/>
  <c r="X85" i="68" s="1"/>
  <c r="Z85" i="68" s="1"/>
  <c r="L85" i="68"/>
  <c r="N85" i="68" s="1"/>
  <c r="J85" i="68"/>
  <c r="H85" i="68"/>
  <c r="D85" i="68"/>
  <c r="B85" i="68"/>
  <c r="Z84" i="68"/>
  <c r="X84" i="68"/>
  <c r="V84" i="68"/>
  <c r="N84" i="68"/>
  <c r="L84" i="68"/>
  <c r="B84" i="68"/>
  <c r="Z83" i="68"/>
  <c r="X83" i="68"/>
  <c r="V83" i="68"/>
  <c r="N83" i="68"/>
  <c r="L83" i="68"/>
  <c r="B83" i="68"/>
  <c r="Z82" i="68"/>
  <c r="X82" i="68"/>
  <c r="T82" i="68"/>
  <c r="P82" i="68"/>
  <c r="J82" i="68"/>
  <c r="H82" i="68"/>
  <c r="D82" i="68"/>
  <c r="B82" i="68"/>
  <c r="X81" i="68"/>
  <c r="Z81" i="68" s="1"/>
  <c r="N81" i="68"/>
  <c r="L81" i="68"/>
  <c r="B81" i="68"/>
  <c r="T80" i="68"/>
  <c r="P80" i="68"/>
  <c r="N80" i="68"/>
  <c r="H80" i="68"/>
  <c r="F80" i="68"/>
  <c r="D80" i="68"/>
  <c r="L80" i="68" s="1"/>
  <c r="B80" i="68"/>
  <c r="X79" i="68"/>
  <c r="Z79" i="68" s="1"/>
  <c r="L79" i="68"/>
  <c r="N79" i="68" s="1"/>
  <c r="J79" i="68"/>
  <c r="B79" i="68"/>
  <c r="T78" i="68"/>
  <c r="P78" i="68"/>
  <c r="X78" i="68" s="1"/>
  <c r="Z78" i="68" s="1"/>
  <c r="H78" i="68"/>
  <c r="N78" i="68" s="1"/>
  <c r="D78" i="68"/>
  <c r="L78" i="68" s="1"/>
  <c r="B78" i="68"/>
  <c r="Z77" i="68"/>
  <c r="X77" i="68"/>
  <c r="N77" i="68"/>
  <c r="L77" i="68"/>
  <c r="B77" i="68"/>
  <c r="T76" i="68"/>
  <c r="Z76" i="68" s="1"/>
  <c r="P76" i="68"/>
  <c r="X76" i="68" s="1"/>
  <c r="N76" i="68"/>
  <c r="L76" i="68"/>
  <c r="H76" i="68"/>
  <c r="D76" i="68"/>
  <c r="B76" i="68"/>
  <c r="Z75" i="68"/>
  <c r="X75" i="68"/>
  <c r="V75" i="68"/>
  <c r="N75" i="68"/>
  <c r="L75" i="68"/>
  <c r="B75" i="68"/>
  <c r="Z74" i="68"/>
  <c r="X74" i="68"/>
  <c r="N74" i="68"/>
  <c r="L74" i="68"/>
  <c r="B74" i="68"/>
  <c r="Z73" i="68"/>
  <c r="T73" i="68"/>
  <c r="P73" i="68"/>
  <c r="X73" i="68" s="1"/>
  <c r="L73" i="68"/>
  <c r="N73" i="68" s="1"/>
  <c r="J73" i="68"/>
  <c r="H73" i="68"/>
  <c r="D73" i="68"/>
  <c r="B73" i="68"/>
  <c r="X72" i="68"/>
  <c r="Z72" i="68" s="1"/>
  <c r="V72" i="68"/>
  <c r="L72" i="68"/>
  <c r="N72" i="68" s="1"/>
  <c r="B72" i="68"/>
  <c r="X71" i="68"/>
  <c r="Z71" i="68" s="1"/>
  <c r="V71" i="68"/>
  <c r="T71" i="68"/>
  <c r="P71" i="68"/>
  <c r="H71" i="68"/>
  <c r="D71" i="68"/>
  <c r="B71" i="68"/>
  <c r="Z70" i="68"/>
  <c r="X70" i="68"/>
  <c r="N70" i="68"/>
  <c r="L70" i="68"/>
  <c r="B70" i="68"/>
  <c r="T69" i="68"/>
  <c r="P69" i="68"/>
  <c r="H69" i="68"/>
  <c r="N69" i="68" s="1"/>
  <c r="D69" i="68"/>
  <c r="L69" i="68" s="1"/>
  <c r="B69" i="68"/>
  <c r="Z68" i="68"/>
  <c r="X68" i="68"/>
  <c r="N68" i="68"/>
  <c r="L68" i="68"/>
  <c r="J68" i="68"/>
  <c r="B68" i="68"/>
  <c r="T67" i="68"/>
  <c r="Z67" i="68" s="1"/>
  <c r="P67" i="68"/>
  <c r="X67" i="68" s="1"/>
  <c r="N67" i="68"/>
  <c r="H67" i="68"/>
  <c r="D67" i="68"/>
  <c r="L67" i="68" s="1"/>
  <c r="B67" i="68"/>
  <c r="Z66" i="68"/>
  <c r="X66" i="68"/>
  <c r="N66" i="68"/>
  <c r="L66" i="68"/>
  <c r="B66" i="68"/>
  <c r="Z65" i="68"/>
  <c r="T65" i="68"/>
  <c r="P65" i="68"/>
  <c r="X65" i="68" s="1"/>
  <c r="N65" i="68"/>
  <c r="L65" i="68"/>
  <c r="J65" i="68"/>
  <c r="H65" i="68"/>
  <c r="D65" i="68"/>
  <c r="B65" i="68"/>
  <c r="X64" i="68"/>
  <c r="Z64" i="68" s="1"/>
  <c r="V64" i="68"/>
  <c r="L64" i="68"/>
  <c r="N64" i="68" s="1"/>
  <c r="B64" i="68"/>
  <c r="X63" i="68"/>
  <c r="Z63" i="68" s="1"/>
  <c r="V63" i="68"/>
  <c r="T63" i="68"/>
  <c r="P63" i="68"/>
  <c r="H63" i="68"/>
  <c r="D63" i="68"/>
  <c r="B63" i="68"/>
  <c r="Z62" i="68"/>
  <c r="X62" i="68"/>
  <c r="N62" i="68"/>
  <c r="L62" i="68"/>
  <c r="B62" i="68"/>
  <c r="Z61" i="68"/>
  <c r="X61" i="68"/>
  <c r="N61" i="68"/>
  <c r="L61" i="68"/>
  <c r="B61" i="68"/>
  <c r="X60" i="68"/>
  <c r="Z60" i="68" s="1"/>
  <c r="V60" i="68"/>
  <c r="N60" i="68"/>
  <c r="L60" i="68"/>
  <c r="B60" i="68"/>
  <c r="Z59" i="68"/>
  <c r="X59" i="68"/>
  <c r="V59" i="68"/>
  <c r="N59" i="68"/>
  <c r="L59" i="68"/>
  <c r="B59" i="68"/>
  <c r="Z58" i="68"/>
  <c r="X58" i="68"/>
  <c r="N58" i="68"/>
  <c r="L58" i="68"/>
  <c r="B58" i="68"/>
  <c r="Z57" i="68"/>
  <c r="X57" i="68"/>
  <c r="N57" i="68"/>
  <c r="L57" i="68"/>
  <c r="B57" i="68"/>
  <c r="X56" i="68"/>
  <c r="Z56" i="68" s="1"/>
  <c r="L56" i="68"/>
  <c r="N56" i="68" s="1"/>
  <c r="J56" i="68"/>
  <c r="B56" i="68"/>
  <c r="Z55" i="68"/>
  <c r="X55" i="68"/>
  <c r="N55" i="68"/>
  <c r="L55" i="68"/>
  <c r="J55" i="68"/>
  <c r="B55" i="68"/>
  <c r="Z54" i="68"/>
  <c r="X54" i="68"/>
  <c r="L54" i="68"/>
  <c r="N54" i="68" s="1"/>
  <c r="B54" i="68"/>
  <c r="Z53" i="68"/>
  <c r="X53" i="68"/>
  <c r="N53" i="68"/>
  <c r="L53" i="68"/>
  <c r="B53" i="68"/>
  <c r="T52" i="68"/>
  <c r="P52" i="68"/>
  <c r="H52" i="68"/>
  <c r="D52" i="68"/>
  <c r="L52" i="68" s="1"/>
  <c r="N52" i="68" s="1"/>
  <c r="B52" i="68"/>
  <c r="X51" i="68"/>
  <c r="Z51" i="68" s="1"/>
  <c r="L51" i="68"/>
  <c r="N51" i="68" s="1"/>
  <c r="J51" i="68"/>
  <c r="B51" i="68"/>
  <c r="Z50" i="68"/>
  <c r="X50" i="68"/>
  <c r="N50" i="68"/>
  <c r="L50" i="68"/>
  <c r="B50" i="68"/>
  <c r="Z49" i="68"/>
  <c r="X49" i="68"/>
  <c r="N49" i="68"/>
  <c r="L49" i="68"/>
  <c r="B49" i="68"/>
  <c r="Z48" i="68"/>
  <c r="X48" i="68"/>
  <c r="V48" i="68"/>
  <c r="N48" i="68"/>
  <c r="L48" i="68"/>
  <c r="B48" i="68"/>
  <c r="X47" i="68"/>
  <c r="Z47" i="68" s="1"/>
  <c r="V47" i="68"/>
  <c r="L47" i="68"/>
  <c r="N47" i="68" s="1"/>
  <c r="B47" i="68"/>
  <c r="Z46" i="68"/>
  <c r="X46" i="68"/>
  <c r="N46" i="68"/>
  <c r="L46" i="68"/>
  <c r="B46" i="68"/>
  <c r="Z45" i="68"/>
  <c r="X45" i="68"/>
  <c r="N45" i="68"/>
  <c r="L45" i="68"/>
  <c r="B45" i="68"/>
  <c r="X44" i="68"/>
  <c r="Z44" i="68" s="1"/>
  <c r="L44" i="68"/>
  <c r="N44" i="68" s="1"/>
  <c r="J44" i="68"/>
  <c r="B44" i="68"/>
  <c r="X43" i="68"/>
  <c r="Z43" i="68" s="1"/>
  <c r="L43" i="68"/>
  <c r="N43" i="68" s="1"/>
  <c r="J43" i="68"/>
  <c r="B43" i="68"/>
  <c r="T42" i="68"/>
  <c r="P42" i="68"/>
  <c r="X42" i="68" s="1"/>
  <c r="Z42" i="68" s="1"/>
  <c r="H42" i="68"/>
  <c r="D42" i="68"/>
  <c r="L42" i="68" s="1"/>
  <c r="B42" i="68"/>
  <c r="Z41" i="68"/>
  <c r="T41" i="68"/>
  <c r="P41" i="68"/>
  <c r="X41" i="68" s="1"/>
  <c r="L41" i="68"/>
  <c r="J41" i="68"/>
  <c r="H41" i="68"/>
  <c r="N41" i="68" s="1"/>
  <c r="D41" i="68"/>
  <c r="T39" i="68"/>
  <c r="Z37" i="68"/>
  <c r="X37" i="68"/>
  <c r="N37" i="68"/>
  <c r="L37" i="68"/>
  <c r="F37" i="68"/>
  <c r="B37" i="68"/>
  <c r="Z36" i="68"/>
  <c r="X36" i="68"/>
  <c r="V36" i="68"/>
  <c r="N36" i="68"/>
  <c r="L36" i="68"/>
  <c r="J36" i="68"/>
  <c r="F36" i="68"/>
  <c r="B36" i="68"/>
  <c r="Z35" i="68"/>
  <c r="X35" i="68"/>
  <c r="N35" i="68"/>
  <c r="L35" i="68"/>
  <c r="J35" i="68"/>
  <c r="B35" i="68"/>
  <c r="Z34" i="68"/>
  <c r="X34" i="68"/>
  <c r="N34" i="68"/>
  <c r="L34" i="68"/>
  <c r="B34" i="68"/>
  <c r="Z33" i="68"/>
  <c r="X33" i="68"/>
  <c r="N33" i="68"/>
  <c r="L33" i="68"/>
  <c r="B33" i="68"/>
  <c r="Z32" i="68"/>
  <c r="X32" i="68"/>
  <c r="V32" i="68"/>
  <c r="N32" i="68"/>
  <c r="L32" i="68"/>
  <c r="J32" i="68"/>
  <c r="B32" i="68"/>
  <c r="Z31" i="68"/>
  <c r="X31" i="68"/>
  <c r="V31" i="68"/>
  <c r="N31" i="68"/>
  <c r="L31" i="68"/>
  <c r="B31" i="68"/>
  <c r="Z30" i="68"/>
  <c r="X30" i="68"/>
  <c r="N30" i="68"/>
  <c r="L30" i="68"/>
  <c r="B30" i="68"/>
  <c r="Z29" i="68"/>
  <c r="X29" i="68"/>
  <c r="N29" i="68"/>
  <c r="L29" i="68"/>
  <c r="F29" i="68"/>
  <c r="B29" i="68"/>
  <c r="Z28" i="68"/>
  <c r="X28" i="68"/>
  <c r="V28" i="68"/>
  <c r="N28" i="68"/>
  <c r="L28" i="68"/>
  <c r="J28" i="68"/>
  <c r="F28" i="68"/>
  <c r="B28" i="68"/>
  <c r="Z27" i="68"/>
  <c r="X27" i="68"/>
  <c r="N27" i="68"/>
  <c r="L27" i="68"/>
  <c r="J27" i="68"/>
  <c r="B27" i="68"/>
  <c r="Z26" i="68"/>
  <c r="X26" i="68"/>
  <c r="N26" i="68"/>
  <c r="L26" i="68"/>
  <c r="B26" i="68"/>
  <c r="Z25" i="68"/>
  <c r="X25" i="68"/>
  <c r="N25" i="68"/>
  <c r="L25" i="68"/>
  <c r="B25" i="68"/>
  <c r="Z24" i="68"/>
  <c r="X24" i="68"/>
  <c r="V24" i="68"/>
  <c r="N24" i="68"/>
  <c r="L24" i="68"/>
  <c r="J24" i="68"/>
  <c r="B24" i="68"/>
  <c r="Z23" i="68"/>
  <c r="X23" i="68"/>
  <c r="V23" i="68"/>
  <c r="N23" i="68"/>
  <c r="L23" i="68"/>
  <c r="B23" i="68"/>
  <c r="Z22" i="68"/>
  <c r="X22" i="68"/>
  <c r="N22" i="68"/>
  <c r="L22" i="68"/>
  <c r="B22" i="68"/>
  <c r="Z21" i="68"/>
  <c r="X21" i="68"/>
  <c r="N21" i="68"/>
  <c r="L21" i="68"/>
  <c r="B21" i="68"/>
  <c r="Z20" i="68"/>
  <c r="X20" i="68"/>
  <c r="V20" i="68"/>
  <c r="N20" i="68"/>
  <c r="L20" i="68"/>
  <c r="J20" i="68"/>
  <c r="B20" i="68"/>
  <c r="X19" i="68"/>
  <c r="Z19" i="68" s="1"/>
  <c r="L19" i="68"/>
  <c r="N19" i="68" s="1"/>
  <c r="J19" i="68"/>
  <c r="B19" i="68"/>
  <c r="T18" i="68"/>
  <c r="P18" i="68"/>
  <c r="X18" i="68" s="1"/>
  <c r="Z18" i="68" s="1"/>
  <c r="J18" i="68"/>
  <c r="H18" i="68"/>
  <c r="D18" i="68"/>
  <c r="L18" i="68" s="1"/>
  <c r="N18" i="68" s="1"/>
  <c r="Z16" i="68"/>
  <c r="X16" i="68"/>
  <c r="P16" i="68"/>
  <c r="N16" i="68"/>
  <c r="L16" i="68"/>
  <c r="D16" i="68"/>
  <c r="B16" i="68"/>
  <c r="Z15" i="68"/>
  <c r="X15" i="68"/>
  <c r="P15" i="68"/>
  <c r="N15" i="68"/>
  <c r="D15" i="68"/>
  <c r="L15" i="68" s="1"/>
  <c r="B15" i="68"/>
  <c r="Z14" i="68"/>
  <c r="P14" i="68"/>
  <c r="N14" i="68"/>
  <c r="L14" i="68"/>
  <c r="D14" i="68"/>
  <c r="B14" i="68"/>
  <c r="P13" i="68"/>
  <c r="X13" i="68" s="1"/>
  <c r="Z13" i="68" s="1"/>
  <c r="N13" i="68"/>
  <c r="L13" i="68"/>
  <c r="D13" i="68"/>
  <c r="D12" i="68" s="1"/>
  <c r="B13" i="68"/>
  <c r="T12" i="68"/>
  <c r="V103" i="68" s="1"/>
  <c r="L12" i="68"/>
  <c r="N12" i="68" s="1"/>
  <c r="H12" i="68"/>
  <c r="J102" i="68" s="1"/>
  <c r="D6" i="68"/>
  <c r="D4" i="68"/>
  <c r="R33" i="66"/>
  <c r="J33" i="66"/>
  <c r="R30" i="66"/>
  <c r="J30" i="66"/>
  <c r="Z28" i="66"/>
  <c r="X28" i="66"/>
  <c r="N28" i="66"/>
  <c r="L28" i="66"/>
  <c r="R26" i="66"/>
  <c r="J26" i="66"/>
  <c r="Z24" i="66"/>
  <c r="X24" i="66"/>
  <c r="T24" i="66"/>
  <c r="R24" i="66"/>
  <c r="P24" i="66"/>
  <c r="J24" i="66"/>
  <c r="H24" i="66"/>
  <c r="D24" i="66"/>
  <c r="Z22" i="66"/>
  <c r="X22" i="66"/>
  <c r="N22" i="66"/>
  <c r="L22" i="66"/>
  <c r="B22" i="66"/>
  <c r="T21" i="66"/>
  <c r="Z21" i="66" s="1"/>
  <c r="R21" i="66"/>
  <c r="P21" i="66"/>
  <c r="L21" i="66"/>
  <c r="H21" i="66"/>
  <c r="N21" i="66" s="1"/>
  <c r="D21" i="66"/>
  <c r="B21" i="66"/>
  <c r="Z20" i="66"/>
  <c r="X20" i="66"/>
  <c r="V20" i="66"/>
  <c r="N20" i="66"/>
  <c r="L20" i="66"/>
  <c r="J20" i="66"/>
  <c r="F20" i="66"/>
  <c r="B20" i="66"/>
  <c r="X19" i="66"/>
  <c r="T19" i="66"/>
  <c r="Z19" i="66" s="1"/>
  <c r="P19" i="66"/>
  <c r="N19" i="66"/>
  <c r="H19" i="66"/>
  <c r="L19" i="66" s="1"/>
  <c r="D19" i="66"/>
  <c r="B19" i="66"/>
  <c r="Z18" i="66"/>
  <c r="X18" i="66"/>
  <c r="T18" i="66"/>
  <c r="R18" i="66"/>
  <c r="P18" i="66"/>
  <c r="J18" i="66"/>
  <c r="H18" i="66"/>
  <c r="N18" i="66" s="1"/>
  <c r="D18" i="66"/>
  <c r="R16" i="66"/>
  <c r="P16" i="66"/>
  <c r="J16" i="66"/>
  <c r="Z14" i="66"/>
  <c r="X14" i="66"/>
  <c r="T14" i="66"/>
  <c r="R14" i="66"/>
  <c r="P14" i="66"/>
  <c r="J14" i="66"/>
  <c r="H14" i="66"/>
  <c r="N14" i="66" s="1"/>
  <c r="D14" i="66"/>
  <c r="Z12" i="66"/>
  <c r="X12" i="66"/>
  <c r="T12" i="66"/>
  <c r="V19" i="66" s="1"/>
  <c r="P12" i="66"/>
  <c r="R20" i="66" s="1"/>
  <c r="N12" i="66"/>
  <c r="L12" i="66"/>
  <c r="H12" i="66"/>
  <c r="J19" i="66" s="1"/>
  <c r="D12" i="66"/>
  <c r="F28" i="66" s="1"/>
  <c r="D6" i="66"/>
  <c r="D4" i="66"/>
  <c r="X88" i="65"/>
  <c r="Z88" i="65" s="1"/>
  <c r="L88" i="65"/>
  <c r="N88" i="65" s="1"/>
  <c r="Z84" i="65"/>
  <c r="P84" i="65"/>
  <c r="X84" i="65" s="1"/>
  <c r="N84" i="65"/>
  <c r="D84" i="65"/>
  <c r="L84" i="65" s="1"/>
  <c r="B84" i="65"/>
  <c r="Z83" i="65"/>
  <c r="X83" i="65"/>
  <c r="P83" i="65"/>
  <c r="N83" i="65"/>
  <c r="J83" i="65"/>
  <c r="D83" i="65"/>
  <c r="L83" i="65" s="1"/>
  <c r="B83" i="65"/>
  <c r="Z82" i="65"/>
  <c r="P82" i="65"/>
  <c r="X82" i="65" s="1"/>
  <c r="N82" i="65"/>
  <c r="L82" i="65"/>
  <c r="J82" i="65"/>
  <c r="D82" i="65"/>
  <c r="B82" i="65"/>
  <c r="P81" i="65"/>
  <c r="D81" i="65"/>
  <c r="B81" i="65"/>
  <c r="T80" i="65"/>
  <c r="H80" i="65"/>
  <c r="X78" i="65"/>
  <c r="Z78" i="65" s="1"/>
  <c r="L78" i="65"/>
  <c r="N78" i="65" s="1"/>
  <c r="B78" i="65"/>
  <c r="Z77" i="65"/>
  <c r="X77" i="65"/>
  <c r="N77" i="65"/>
  <c r="L77" i="65"/>
  <c r="B77" i="65"/>
  <c r="V76" i="65"/>
  <c r="T76" i="65"/>
  <c r="P76" i="65"/>
  <c r="J76" i="65"/>
  <c r="H76" i="65"/>
  <c r="D76" i="65"/>
  <c r="L76" i="65" s="1"/>
  <c r="N76" i="65" s="1"/>
  <c r="B76" i="65"/>
  <c r="X75" i="65"/>
  <c r="Z75" i="65" s="1"/>
  <c r="L75" i="65"/>
  <c r="N75" i="65" s="1"/>
  <c r="J75" i="65"/>
  <c r="B75" i="65"/>
  <c r="X74" i="65"/>
  <c r="Z74" i="65" s="1"/>
  <c r="N74" i="65"/>
  <c r="L74" i="65"/>
  <c r="B74" i="65"/>
  <c r="T73" i="65"/>
  <c r="P73" i="65"/>
  <c r="H73" i="65"/>
  <c r="D73" i="65"/>
  <c r="L73" i="65" s="1"/>
  <c r="B73" i="65"/>
  <c r="Z72" i="65"/>
  <c r="X72" i="65"/>
  <c r="N72" i="65"/>
  <c r="L72" i="65"/>
  <c r="J72" i="65"/>
  <c r="B72" i="65"/>
  <c r="T71" i="65"/>
  <c r="P71" i="65"/>
  <c r="H71" i="65"/>
  <c r="D71" i="65"/>
  <c r="L71" i="65" s="1"/>
  <c r="N71" i="65" s="1"/>
  <c r="B71" i="65"/>
  <c r="X70" i="65"/>
  <c r="Z70" i="65" s="1"/>
  <c r="L70" i="65"/>
  <c r="N70" i="65" s="1"/>
  <c r="J70" i="65"/>
  <c r="B70" i="65"/>
  <c r="Z69" i="65"/>
  <c r="X69" i="65"/>
  <c r="L69" i="65"/>
  <c r="N69" i="65" s="1"/>
  <c r="B69" i="65"/>
  <c r="Z68" i="65"/>
  <c r="X68" i="65"/>
  <c r="N68" i="65"/>
  <c r="L68" i="65"/>
  <c r="J68" i="65"/>
  <c r="B68" i="65"/>
  <c r="T67" i="65"/>
  <c r="P67" i="65"/>
  <c r="H67" i="65"/>
  <c r="D67" i="65"/>
  <c r="L67" i="65" s="1"/>
  <c r="N67" i="65" s="1"/>
  <c r="B67" i="65"/>
  <c r="Z66" i="65"/>
  <c r="X66" i="65"/>
  <c r="L66" i="65"/>
  <c r="N66" i="65" s="1"/>
  <c r="J66" i="65"/>
  <c r="B66" i="65"/>
  <c r="T65" i="65"/>
  <c r="P65" i="65"/>
  <c r="X65" i="65" s="1"/>
  <c r="Z65" i="65" s="1"/>
  <c r="L65" i="65"/>
  <c r="J65" i="65"/>
  <c r="H65" i="65"/>
  <c r="N65" i="65" s="1"/>
  <c r="D65" i="65"/>
  <c r="B65" i="65"/>
  <c r="Z64" i="65"/>
  <c r="X64" i="65"/>
  <c r="V64" i="65"/>
  <c r="N64" i="65"/>
  <c r="L64" i="65"/>
  <c r="B64" i="65"/>
  <c r="X63" i="65"/>
  <c r="T63" i="65"/>
  <c r="Z63" i="65" s="1"/>
  <c r="P63" i="65"/>
  <c r="L63" i="65"/>
  <c r="H63" i="65"/>
  <c r="D63" i="65"/>
  <c r="B63" i="65"/>
  <c r="X62" i="65"/>
  <c r="Z62" i="65" s="1"/>
  <c r="V62" i="65"/>
  <c r="N62" i="65"/>
  <c r="L62" i="65"/>
  <c r="B62" i="65"/>
  <c r="X61" i="65"/>
  <c r="T61" i="65"/>
  <c r="P61" i="65"/>
  <c r="H61" i="65"/>
  <c r="D61" i="65"/>
  <c r="L61" i="65" s="1"/>
  <c r="B61" i="65"/>
  <c r="Z60" i="65"/>
  <c r="X60" i="65"/>
  <c r="N60" i="65"/>
  <c r="L60" i="65"/>
  <c r="J60" i="65"/>
  <c r="B60" i="65"/>
  <c r="T59" i="65"/>
  <c r="P59" i="65"/>
  <c r="N59" i="65"/>
  <c r="H59" i="65"/>
  <c r="D59" i="65"/>
  <c r="L59" i="65" s="1"/>
  <c r="B59" i="65"/>
  <c r="X58" i="65"/>
  <c r="Z58" i="65" s="1"/>
  <c r="L58" i="65"/>
  <c r="N58" i="65" s="1"/>
  <c r="J58" i="65"/>
  <c r="B58" i="65"/>
  <c r="Z57" i="65"/>
  <c r="T57" i="65"/>
  <c r="P57" i="65"/>
  <c r="X57" i="65" s="1"/>
  <c r="L57" i="65"/>
  <c r="J57" i="65"/>
  <c r="H57" i="65"/>
  <c r="D57" i="65"/>
  <c r="B57" i="65"/>
  <c r="Z56" i="65"/>
  <c r="X56" i="65"/>
  <c r="N56" i="65"/>
  <c r="L56" i="65"/>
  <c r="B56" i="65"/>
  <c r="X55" i="65"/>
  <c r="V55" i="65"/>
  <c r="T55" i="65"/>
  <c r="P55" i="65"/>
  <c r="L55" i="65"/>
  <c r="H55" i="65"/>
  <c r="D55" i="65"/>
  <c r="B55" i="65"/>
  <c r="Z54" i="65"/>
  <c r="X54" i="65"/>
  <c r="N54" i="65"/>
  <c r="L54" i="65"/>
  <c r="B54" i="65"/>
  <c r="Z53" i="65"/>
  <c r="X53" i="65"/>
  <c r="N53" i="65"/>
  <c r="L53" i="65"/>
  <c r="B53" i="65"/>
  <c r="Z52" i="65"/>
  <c r="X52" i="65"/>
  <c r="N52" i="65"/>
  <c r="L52" i="65"/>
  <c r="B52" i="65"/>
  <c r="X51" i="65"/>
  <c r="Z51" i="65" s="1"/>
  <c r="V51" i="65"/>
  <c r="L51" i="65"/>
  <c r="N51" i="65" s="1"/>
  <c r="B51" i="65"/>
  <c r="Z50" i="65"/>
  <c r="X50" i="65"/>
  <c r="N50" i="65"/>
  <c r="L50" i="65"/>
  <c r="J50" i="65"/>
  <c r="B50" i="65"/>
  <c r="Z49" i="65"/>
  <c r="X49" i="65"/>
  <c r="L49" i="65"/>
  <c r="N49" i="65" s="1"/>
  <c r="B49" i="65"/>
  <c r="Z48" i="65"/>
  <c r="X48" i="65"/>
  <c r="N48" i="65"/>
  <c r="L48" i="65"/>
  <c r="J48" i="65"/>
  <c r="B48" i="65"/>
  <c r="Z47" i="65"/>
  <c r="X47" i="65"/>
  <c r="N47" i="65"/>
  <c r="L47" i="65"/>
  <c r="J47" i="65"/>
  <c r="B47" i="65"/>
  <c r="Z46" i="65"/>
  <c r="X46" i="65"/>
  <c r="V46" i="65"/>
  <c r="N46" i="65"/>
  <c r="L46" i="65"/>
  <c r="B46" i="65"/>
  <c r="Z45" i="65"/>
  <c r="X45" i="65"/>
  <c r="N45" i="65"/>
  <c r="L45" i="65"/>
  <c r="B45" i="65"/>
  <c r="T44" i="65"/>
  <c r="P44" i="65"/>
  <c r="J44" i="65"/>
  <c r="H44" i="65"/>
  <c r="D44" i="65"/>
  <c r="L44" i="65" s="1"/>
  <c r="N44" i="65" s="1"/>
  <c r="B44" i="65"/>
  <c r="X43" i="65"/>
  <c r="Z43" i="65" s="1"/>
  <c r="L43" i="65"/>
  <c r="N43" i="65" s="1"/>
  <c r="J43" i="65"/>
  <c r="B43" i="65"/>
  <c r="Z42" i="65"/>
  <c r="X42" i="65"/>
  <c r="L42" i="65"/>
  <c r="N42" i="65" s="1"/>
  <c r="B42" i="65"/>
  <c r="X41" i="65"/>
  <c r="Z41" i="65" s="1"/>
  <c r="N41" i="65"/>
  <c r="L41" i="65"/>
  <c r="B41" i="65"/>
  <c r="Z40" i="65"/>
  <c r="X40" i="65"/>
  <c r="V40" i="65"/>
  <c r="N40" i="65"/>
  <c r="L40" i="65"/>
  <c r="B40" i="65"/>
  <c r="Z39" i="65"/>
  <c r="X39" i="65"/>
  <c r="V39" i="65"/>
  <c r="N39" i="65"/>
  <c r="L39" i="65"/>
  <c r="B39" i="65"/>
  <c r="Z38" i="65"/>
  <c r="X38" i="65"/>
  <c r="N38" i="65"/>
  <c r="L38" i="65"/>
  <c r="J38" i="65"/>
  <c r="B38" i="65"/>
  <c r="Z37" i="65"/>
  <c r="X37" i="65"/>
  <c r="L37" i="65"/>
  <c r="N37" i="65" s="1"/>
  <c r="B37" i="65"/>
  <c r="Z36" i="65"/>
  <c r="X36" i="65"/>
  <c r="N36" i="65"/>
  <c r="L36" i="65"/>
  <c r="J36" i="65"/>
  <c r="B36" i="65"/>
  <c r="X35" i="65"/>
  <c r="Z35" i="65" s="1"/>
  <c r="L35" i="65"/>
  <c r="N35" i="65" s="1"/>
  <c r="J35" i="65"/>
  <c r="B35" i="65"/>
  <c r="Z34" i="65"/>
  <c r="X34" i="65"/>
  <c r="V34" i="65"/>
  <c r="L34" i="65"/>
  <c r="N34" i="65" s="1"/>
  <c r="B34" i="65"/>
  <c r="X33" i="65"/>
  <c r="T33" i="65"/>
  <c r="P33" i="65"/>
  <c r="H33" i="65"/>
  <c r="D33" i="65"/>
  <c r="B33" i="65"/>
  <c r="T32" i="65"/>
  <c r="Z32" i="65" s="1"/>
  <c r="P32" i="65"/>
  <c r="X32" i="65" s="1"/>
  <c r="L32" i="65"/>
  <c r="N32" i="65" s="1"/>
  <c r="H32" i="65"/>
  <c r="D32" i="65"/>
  <c r="V30" i="65"/>
  <c r="T30" i="65"/>
  <c r="T86" i="65" s="1"/>
  <c r="Z28" i="65"/>
  <c r="X28" i="65"/>
  <c r="N28" i="65"/>
  <c r="L28" i="65"/>
  <c r="J28" i="65"/>
  <c r="B28" i="65"/>
  <c r="Z27" i="65"/>
  <c r="X27" i="65"/>
  <c r="N27" i="65"/>
  <c r="L27" i="65"/>
  <c r="J27" i="65"/>
  <c r="B27" i="65"/>
  <c r="Z26" i="65"/>
  <c r="X26" i="65"/>
  <c r="V26" i="65"/>
  <c r="N26" i="65"/>
  <c r="L26" i="65"/>
  <c r="B26" i="65"/>
  <c r="Z25" i="65"/>
  <c r="X25" i="65"/>
  <c r="N25" i="65"/>
  <c r="L25" i="65"/>
  <c r="B25" i="65"/>
  <c r="Z24" i="65"/>
  <c r="X24" i="65"/>
  <c r="V24" i="65"/>
  <c r="N24" i="65"/>
  <c r="L24" i="65"/>
  <c r="J24" i="65"/>
  <c r="B24" i="65"/>
  <c r="Z23" i="65"/>
  <c r="X23" i="65"/>
  <c r="V23" i="65"/>
  <c r="N23" i="65"/>
  <c r="L23" i="65"/>
  <c r="J23" i="65"/>
  <c r="B23" i="65"/>
  <c r="Z22" i="65"/>
  <c r="X22" i="65"/>
  <c r="N22" i="65"/>
  <c r="L22" i="65"/>
  <c r="J22" i="65"/>
  <c r="B22" i="65"/>
  <c r="Z21" i="65"/>
  <c r="X21" i="65"/>
  <c r="N21" i="65"/>
  <c r="L21" i="65"/>
  <c r="B21" i="65"/>
  <c r="Z20" i="65"/>
  <c r="X20" i="65"/>
  <c r="N20" i="65"/>
  <c r="L20" i="65"/>
  <c r="J20" i="65"/>
  <c r="B20" i="65"/>
  <c r="X19" i="65"/>
  <c r="Z19" i="65" s="1"/>
  <c r="L19" i="65"/>
  <c r="N19" i="65" s="1"/>
  <c r="J19" i="65"/>
  <c r="B19" i="65"/>
  <c r="V18" i="65"/>
  <c r="T18" i="65"/>
  <c r="P18" i="65"/>
  <c r="X18" i="65" s="1"/>
  <c r="Z18" i="65" s="1"/>
  <c r="H18" i="65"/>
  <c r="F18" i="65"/>
  <c r="D18" i="65"/>
  <c r="Z16" i="65"/>
  <c r="X16" i="65"/>
  <c r="P16" i="65"/>
  <c r="N16" i="65"/>
  <c r="D16" i="65"/>
  <c r="L16" i="65" s="1"/>
  <c r="B16" i="65"/>
  <c r="Z15" i="65"/>
  <c r="X15" i="65"/>
  <c r="P15" i="65"/>
  <c r="N15" i="65"/>
  <c r="D15" i="65"/>
  <c r="L15" i="65" s="1"/>
  <c r="B15" i="65"/>
  <c r="Z14" i="65"/>
  <c r="P14" i="65"/>
  <c r="N14" i="65"/>
  <c r="L14" i="65"/>
  <c r="D14" i="65"/>
  <c r="B14" i="65"/>
  <c r="X13" i="65"/>
  <c r="Z13" i="65" s="1"/>
  <c r="P13" i="65"/>
  <c r="L13" i="65"/>
  <c r="N13" i="65" s="1"/>
  <c r="D13" i="65"/>
  <c r="D12" i="65" s="1"/>
  <c r="F60" i="65" s="1"/>
  <c r="B13" i="65"/>
  <c r="T12" i="65"/>
  <c r="V63" i="65" s="1"/>
  <c r="H12" i="65"/>
  <c r="J84" i="65" s="1"/>
  <c r="D6" i="65"/>
  <c r="D4" i="65"/>
  <c r="V36" i="64"/>
  <c r="J36" i="64"/>
  <c r="F36" i="64"/>
  <c r="V33" i="64"/>
  <c r="R33" i="64"/>
  <c r="Z31" i="64"/>
  <c r="X31" i="64"/>
  <c r="V31" i="64"/>
  <c r="N31" i="64"/>
  <c r="L31" i="64"/>
  <c r="J31" i="64"/>
  <c r="V29" i="64"/>
  <c r="T29" i="64"/>
  <c r="J29" i="64"/>
  <c r="F29" i="64"/>
  <c r="V27" i="64"/>
  <c r="T27" i="64"/>
  <c r="Z27" i="64" s="1"/>
  <c r="P27" i="64"/>
  <c r="X27" i="64" s="1"/>
  <c r="N27" i="64"/>
  <c r="L27" i="64"/>
  <c r="H27" i="64"/>
  <c r="D27" i="64"/>
  <c r="Z25" i="64"/>
  <c r="X25" i="64"/>
  <c r="V25" i="64"/>
  <c r="N25" i="64"/>
  <c r="L25" i="64"/>
  <c r="J25" i="64"/>
  <c r="B25" i="64"/>
  <c r="X24" i="64"/>
  <c r="V24" i="64"/>
  <c r="T24" i="64"/>
  <c r="Z24" i="64" s="1"/>
  <c r="P24" i="64"/>
  <c r="L24" i="64"/>
  <c r="H24" i="64"/>
  <c r="N24" i="64" s="1"/>
  <c r="F24" i="64"/>
  <c r="D24" i="64"/>
  <c r="B24" i="64"/>
  <c r="Z23" i="64"/>
  <c r="X23" i="64"/>
  <c r="V23" i="64"/>
  <c r="N23" i="64"/>
  <c r="L23" i="64"/>
  <c r="B23" i="64"/>
  <c r="Z22" i="64"/>
  <c r="X22" i="64"/>
  <c r="R22" i="64"/>
  <c r="N22" i="64"/>
  <c r="L22" i="64"/>
  <c r="B22" i="64"/>
  <c r="Z21" i="64"/>
  <c r="V21" i="64"/>
  <c r="T21" i="64"/>
  <c r="P21" i="64"/>
  <c r="X21" i="64" s="1"/>
  <c r="N21" i="64"/>
  <c r="J21" i="64"/>
  <c r="H21" i="64"/>
  <c r="F21" i="64"/>
  <c r="D21" i="64"/>
  <c r="L21" i="64" s="1"/>
  <c r="B21" i="64"/>
  <c r="X20" i="64"/>
  <c r="Z20" i="64" s="1"/>
  <c r="V20" i="64"/>
  <c r="R20" i="64"/>
  <c r="L20" i="64"/>
  <c r="N20" i="64" s="1"/>
  <c r="J20" i="64"/>
  <c r="B20" i="64"/>
  <c r="V19" i="64"/>
  <c r="T19" i="64"/>
  <c r="P19" i="64"/>
  <c r="X19" i="64" s="1"/>
  <c r="Z19" i="64" s="1"/>
  <c r="J19" i="64"/>
  <c r="H19" i="64"/>
  <c r="F19" i="64"/>
  <c r="D19" i="64"/>
  <c r="B19" i="64"/>
  <c r="T18" i="64"/>
  <c r="P18" i="64"/>
  <c r="X18" i="64" s="1"/>
  <c r="Z18" i="64" s="1"/>
  <c r="L18" i="64"/>
  <c r="J18" i="64"/>
  <c r="H18" i="64"/>
  <c r="D18" i="64"/>
  <c r="T16" i="64"/>
  <c r="Z16" i="64" s="1"/>
  <c r="J16" i="64"/>
  <c r="H16" i="64"/>
  <c r="D16" i="64"/>
  <c r="Z14" i="64"/>
  <c r="T14" i="64"/>
  <c r="P14" i="64"/>
  <c r="X14" i="64" s="1"/>
  <c r="L14" i="64"/>
  <c r="J14" i="64"/>
  <c r="H14" i="64"/>
  <c r="N14" i="64" s="1"/>
  <c r="D14" i="64"/>
  <c r="Z12" i="64"/>
  <c r="T12" i="64"/>
  <c r="V18" i="64" s="1"/>
  <c r="P12" i="64"/>
  <c r="R31" i="64" s="1"/>
  <c r="N12" i="64"/>
  <c r="H12" i="64"/>
  <c r="J33" i="64" s="1"/>
  <c r="D12" i="64"/>
  <c r="F20" i="64" s="1"/>
  <c r="D6" i="64"/>
  <c r="D4" i="64"/>
  <c r="X82" i="63"/>
  <c r="Z82" i="63" s="1"/>
  <c r="V82" i="63"/>
  <c r="L82" i="63"/>
  <c r="N82" i="63" s="1"/>
  <c r="T78" i="63"/>
  <c r="Z78" i="63" s="1"/>
  <c r="P78" i="63"/>
  <c r="N78" i="63"/>
  <c r="H78" i="63"/>
  <c r="D78" i="63"/>
  <c r="L78" i="63" s="1"/>
  <c r="X76" i="63"/>
  <c r="Z76" i="63" s="1"/>
  <c r="V76" i="63"/>
  <c r="L76" i="63"/>
  <c r="N76" i="63" s="1"/>
  <c r="F76" i="63"/>
  <c r="B76" i="63"/>
  <c r="X75" i="63"/>
  <c r="Z75" i="63" s="1"/>
  <c r="T75" i="63"/>
  <c r="P75" i="63"/>
  <c r="H75" i="63"/>
  <c r="L75" i="63" s="1"/>
  <c r="D75" i="63"/>
  <c r="B75" i="63"/>
  <c r="X74" i="63"/>
  <c r="Z74" i="63" s="1"/>
  <c r="N74" i="63"/>
  <c r="L74" i="63"/>
  <c r="B74" i="63"/>
  <c r="Z73" i="63"/>
  <c r="X73" i="63"/>
  <c r="V73" i="63"/>
  <c r="N73" i="63"/>
  <c r="L73" i="63"/>
  <c r="B73" i="63"/>
  <c r="X72" i="63"/>
  <c r="Z72" i="63" s="1"/>
  <c r="V72" i="63"/>
  <c r="L72" i="63"/>
  <c r="N72" i="63" s="1"/>
  <c r="B72" i="63"/>
  <c r="Z71" i="63"/>
  <c r="X71" i="63"/>
  <c r="T71" i="63"/>
  <c r="P71" i="63"/>
  <c r="N71" i="63"/>
  <c r="H71" i="63"/>
  <c r="L71" i="63" s="1"/>
  <c r="D71" i="63"/>
  <c r="B71" i="63"/>
  <c r="Z70" i="63"/>
  <c r="X70" i="63"/>
  <c r="N70" i="63"/>
  <c r="L70" i="63"/>
  <c r="B70" i="63"/>
  <c r="Z69" i="63"/>
  <c r="V69" i="63"/>
  <c r="T69" i="63"/>
  <c r="P69" i="63"/>
  <c r="N69" i="63"/>
  <c r="H69" i="63"/>
  <c r="D69" i="63"/>
  <c r="L69" i="63" s="1"/>
  <c r="B69" i="63"/>
  <c r="Z68" i="63"/>
  <c r="X68" i="63"/>
  <c r="N68" i="63"/>
  <c r="L68" i="63"/>
  <c r="B68" i="63"/>
  <c r="Z67" i="63"/>
  <c r="V67" i="63"/>
  <c r="T67" i="63"/>
  <c r="P67" i="63"/>
  <c r="X67" i="63" s="1"/>
  <c r="H67" i="63"/>
  <c r="N67" i="63" s="1"/>
  <c r="D67" i="63"/>
  <c r="L67" i="63" s="1"/>
  <c r="B67" i="63"/>
  <c r="Z66" i="63"/>
  <c r="X66" i="63"/>
  <c r="L66" i="63"/>
  <c r="N66" i="63" s="1"/>
  <c r="F66" i="63"/>
  <c r="B66" i="63"/>
  <c r="V65" i="63"/>
  <c r="T65" i="63"/>
  <c r="Z65" i="63" s="1"/>
  <c r="P65" i="63"/>
  <c r="X65" i="63" s="1"/>
  <c r="L65" i="63"/>
  <c r="N65" i="63" s="1"/>
  <c r="H65" i="63"/>
  <c r="D65" i="63"/>
  <c r="B65" i="63"/>
  <c r="Z64" i="63"/>
  <c r="X64" i="63"/>
  <c r="V64" i="63"/>
  <c r="N64" i="63"/>
  <c r="L64" i="63"/>
  <c r="F64" i="63"/>
  <c r="B64" i="63"/>
  <c r="Z63" i="63"/>
  <c r="X63" i="63"/>
  <c r="T63" i="63"/>
  <c r="P63" i="63"/>
  <c r="N63" i="63"/>
  <c r="H63" i="63"/>
  <c r="L63" i="63" s="1"/>
  <c r="D63" i="63"/>
  <c r="B63" i="63"/>
  <c r="Z62" i="63"/>
  <c r="X62" i="63"/>
  <c r="N62" i="63"/>
  <c r="L62" i="63"/>
  <c r="B62" i="63"/>
  <c r="Z61" i="63"/>
  <c r="V61" i="63"/>
  <c r="T61" i="63"/>
  <c r="X61" i="63" s="1"/>
  <c r="P61" i="63"/>
  <c r="N61" i="63"/>
  <c r="H61" i="63"/>
  <c r="D61" i="63"/>
  <c r="L61" i="63" s="1"/>
  <c r="B61" i="63"/>
  <c r="Z60" i="63"/>
  <c r="X60" i="63"/>
  <c r="N60" i="63"/>
  <c r="L60" i="63"/>
  <c r="B60" i="63"/>
  <c r="Z59" i="63"/>
  <c r="X59" i="63"/>
  <c r="V59" i="63"/>
  <c r="N59" i="63"/>
  <c r="L59" i="63"/>
  <c r="B59" i="63"/>
  <c r="T58" i="63"/>
  <c r="P58" i="63"/>
  <c r="H58" i="63"/>
  <c r="N58" i="63" s="1"/>
  <c r="D58" i="63"/>
  <c r="B58" i="63"/>
  <c r="X57" i="63"/>
  <c r="Z57" i="63" s="1"/>
  <c r="V57" i="63"/>
  <c r="N57" i="63"/>
  <c r="L57" i="63"/>
  <c r="F57" i="63"/>
  <c r="B57" i="63"/>
  <c r="T56" i="63"/>
  <c r="P56" i="63"/>
  <c r="X56" i="63" s="1"/>
  <c r="H56" i="63"/>
  <c r="D56" i="63"/>
  <c r="B56" i="63"/>
  <c r="Z55" i="63"/>
  <c r="X55" i="63"/>
  <c r="N55" i="63"/>
  <c r="L55" i="63"/>
  <c r="J55" i="63"/>
  <c r="B55" i="63"/>
  <c r="T54" i="63"/>
  <c r="P54" i="63"/>
  <c r="H54" i="63"/>
  <c r="D54" i="63"/>
  <c r="L54" i="63" s="1"/>
  <c r="N54" i="63" s="1"/>
  <c r="B54" i="63"/>
  <c r="Z53" i="63"/>
  <c r="X53" i="63"/>
  <c r="V53" i="63"/>
  <c r="L53" i="63"/>
  <c r="N53" i="63" s="1"/>
  <c r="B53" i="63"/>
  <c r="V52" i="63"/>
  <c r="T52" i="63"/>
  <c r="P52" i="63"/>
  <c r="X52" i="63" s="1"/>
  <c r="Z52" i="63" s="1"/>
  <c r="L52" i="63"/>
  <c r="H52" i="63"/>
  <c r="F52" i="63"/>
  <c r="D52" i="63"/>
  <c r="B52" i="63"/>
  <c r="Z51" i="63"/>
  <c r="X51" i="63"/>
  <c r="V51" i="63"/>
  <c r="N51" i="63"/>
  <c r="L51" i="63"/>
  <c r="B51" i="63"/>
  <c r="Z50" i="63"/>
  <c r="X50" i="63"/>
  <c r="N50" i="63"/>
  <c r="L50" i="63"/>
  <c r="B50" i="63"/>
  <c r="Z49" i="63"/>
  <c r="X49" i="63"/>
  <c r="V49" i="63"/>
  <c r="N49" i="63"/>
  <c r="L49" i="63"/>
  <c r="B49" i="63"/>
  <c r="X48" i="63"/>
  <c r="Z48" i="63" s="1"/>
  <c r="V48" i="63"/>
  <c r="L48" i="63"/>
  <c r="N48" i="63" s="1"/>
  <c r="B48" i="63"/>
  <c r="Z47" i="63"/>
  <c r="X47" i="63"/>
  <c r="N47" i="63"/>
  <c r="L47" i="63"/>
  <c r="B47" i="63"/>
  <c r="Z46" i="63"/>
  <c r="X46" i="63"/>
  <c r="N46" i="63"/>
  <c r="L46" i="63"/>
  <c r="F46" i="63"/>
  <c r="B46" i="63"/>
  <c r="X45" i="63"/>
  <c r="Z45" i="63" s="1"/>
  <c r="V45" i="63"/>
  <c r="N45" i="63"/>
  <c r="L45" i="63"/>
  <c r="B45" i="63"/>
  <c r="Z44" i="63"/>
  <c r="X44" i="63"/>
  <c r="N44" i="63"/>
  <c r="L44" i="63"/>
  <c r="B44" i="63"/>
  <c r="Z43" i="63"/>
  <c r="X43" i="63"/>
  <c r="V43" i="63"/>
  <c r="N43" i="63"/>
  <c r="L43" i="63"/>
  <c r="B43" i="63"/>
  <c r="Z42" i="63"/>
  <c r="X42" i="63"/>
  <c r="N42" i="63"/>
  <c r="L42" i="63"/>
  <c r="B42" i="63"/>
  <c r="T41" i="63"/>
  <c r="V41" i="63" s="1"/>
  <c r="P41" i="63"/>
  <c r="X41" i="63" s="1"/>
  <c r="Z41" i="63" s="1"/>
  <c r="N41" i="63"/>
  <c r="H41" i="63"/>
  <c r="F41" i="63"/>
  <c r="D41" i="63"/>
  <c r="L41" i="63" s="1"/>
  <c r="B41" i="63"/>
  <c r="X40" i="63"/>
  <c r="Z40" i="63" s="1"/>
  <c r="L40" i="63"/>
  <c r="N40" i="63" s="1"/>
  <c r="B40" i="63"/>
  <c r="Z39" i="63"/>
  <c r="X39" i="63"/>
  <c r="V39" i="63"/>
  <c r="N39" i="63"/>
  <c r="L39" i="63"/>
  <c r="B39" i="63"/>
  <c r="Z38" i="63"/>
  <c r="X38" i="63"/>
  <c r="N38" i="63"/>
  <c r="L38" i="63"/>
  <c r="B38" i="63"/>
  <c r="Z37" i="63"/>
  <c r="X37" i="63"/>
  <c r="V37" i="63"/>
  <c r="N37" i="63"/>
  <c r="L37" i="63"/>
  <c r="B37" i="63"/>
  <c r="X36" i="63"/>
  <c r="Z36" i="63" s="1"/>
  <c r="V36" i="63"/>
  <c r="L36" i="63"/>
  <c r="N36" i="63" s="1"/>
  <c r="F36" i="63"/>
  <c r="B36" i="63"/>
  <c r="Z35" i="63"/>
  <c r="X35" i="63"/>
  <c r="N35" i="63"/>
  <c r="L35" i="63"/>
  <c r="B35" i="63"/>
  <c r="Z34" i="63"/>
  <c r="X34" i="63"/>
  <c r="L34" i="63"/>
  <c r="N34" i="63" s="1"/>
  <c r="F34" i="63"/>
  <c r="B34" i="63"/>
  <c r="X33" i="63"/>
  <c r="Z33" i="63" s="1"/>
  <c r="V33" i="63"/>
  <c r="N33" i="63"/>
  <c r="L33" i="63"/>
  <c r="B33" i="63"/>
  <c r="X32" i="63"/>
  <c r="T32" i="63"/>
  <c r="P32" i="63"/>
  <c r="H32" i="63"/>
  <c r="D32" i="63"/>
  <c r="B32" i="63"/>
  <c r="Z31" i="63"/>
  <c r="X31" i="63"/>
  <c r="T31" i="63"/>
  <c r="P31" i="63"/>
  <c r="H31" i="63"/>
  <c r="D31" i="63"/>
  <c r="L31" i="63" s="1"/>
  <c r="N31" i="63" s="1"/>
  <c r="Z27" i="63"/>
  <c r="X27" i="63"/>
  <c r="N27" i="63"/>
  <c r="L27" i="63"/>
  <c r="B27" i="63"/>
  <c r="Z26" i="63"/>
  <c r="X26" i="63"/>
  <c r="N26" i="63"/>
  <c r="L26" i="63"/>
  <c r="B26" i="63"/>
  <c r="Z25" i="63"/>
  <c r="X25" i="63"/>
  <c r="V25" i="63"/>
  <c r="N25" i="63"/>
  <c r="L25" i="63"/>
  <c r="B25" i="63"/>
  <c r="Z24" i="63"/>
  <c r="X24" i="63"/>
  <c r="N24" i="63"/>
  <c r="L24" i="63"/>
  <c r="B24" i="63"/>
  <c r="Z23" i="63"/>
  <c r="X23" i="63"/>
  <c r="V23" i="63"/>
  <c r="N23" i="63"/>
  <c r="L23" i="63"/>
  <c r="B23" i="63"/>
  <c r="Z22" i="63"/>
  <c r="X22" i="63"/>
  <c r="N22" i="63"/>
  <c r="L22" i="63"/>
  <c r="B22" i="63"/>
  <c r="Z21" i="63"/>
  <c r="X21" i="63"/>
  <c r="V21" i="63"/>
  <c r="N21" i="63"/>
  <c r="L21" i="63"/>
  <c r="B21" i="63"/>
  <c r="Z20" i="63"/>
  <c r="X20" i="63"/>
  <c r="V20" i="63"/>
  <c r="N20" i="63"/>
  <c r="L20" i="63"/>
  <c r="F20" i="63"/>
  <c r="B20" i="63"/>
  <c r="Z19" i="63"/>
  <c r="X19" i="63"/>
  <c r="N19" i="63"/>
  <c r="L19" i="63"/>
  <c r="B19" i="63"/>
  <c r="Z18" i="63"/>
  <c r="X18" i="63"/>
  <c r="L18" i="63"/>
  <c r="N18" i="63" s="1"/>
  <c r="F18" i="63"/>
  <c r="B18" i="63"/>
  <c r="V17" i="63"/>
  <c r="T17" i="63"/>
  <c r="P17" i="63"/>
  <c r="L17" i="63"/>
  <c r="N17" i="63" s="1"/>
  <c r="H17" i="63"/>
  <c r="D17" i="63"/>
  <c r="Z15" i="63"/>
  <c r="P15" i="63"/>
  <c r="X15" i="63" s="1"/>
  <c r="N15" i="63"/>
  <c r="D15" i="63"/>
  <c r="L15" i="63" s="1"/>
  <c r="B15" i="63"/>
  <c r="X14" i="63"/>
  <c r="Z14" i="63" s="1"/>
  <c r="P14" i="63"/>
  <c r="L14" i="63"/>
  <c r="N14" i="63" s="1"/>
  <c r="D14" i="63"/>
  <c r="B14" i="63"/>
  <c r="P13" i="63"/>
  <c r="L13" i="63"/>
  <c r="N13" i="63" s="1"/>
  <c r="D13" i="63"/>
  <c r="D12" i="63" s="1"/>
  <c r="B13" i="63"/>
  <c r="T12" i="63"/>
  <c r="V75" i="63" s="1"/>
  <c r="H12" i="63"/>
  <c r="J75" i="63" s="1"/>
  <c r="D6" i="63"/>
  <c r="D4" i="63"/>
  <c r="Z95" i="62"/>
  <c r="X95" i="62"/>
  <c r="R95" i="62"/>
  <c r="N95" i="62"/>
  <c r="L95" i="62"/>
  <c r="F95" i="62"/>
  <c r="R91" i="62"/>
  <c r="P91" i="62"/>
  <c r="X91" i="62" s="1"/>
  <c r="Z91" i="62" s="1"/>
  <c r="D91" i="62"/>
  <c r="L91" i="62" s="1"/>
  <c r="N91" i="62" s="1"/>
  <c r="B91" i="62"/>
  <c r="V90" i="62"/>
  <c r="P90" i="62"/>
  <c r="X90" i="62" s="1"/>
  <c r="Z90" i="62" s="1"/>
  <c r="D90" i="62"/>
  <c r="L90" i="62" s="1"/>
  <c r="N90" i="62" s="1"/>
  <c r="B90" i="62"/>
  <c r="T89" i="62"/>
  <c r="Z89" i="62" s="1"/>
  <c r="P89" i="62"/>
  <c r="X89" i="62" s="1"/>
  <c r="H89" i="62"/>
  <c r="D89" i="62"/>
  <c r="L89" i="62" s="1"/>
  <c r="X87" i="62"/>
  <c r="Z87" i="62" s="1"/>
  <c r="L87" i="62"/>
  <c r="N87" i="62" s="1"/>
  <c r="B87" i="62"/>
  <c r="Z86" i="62"/>
  <c r="T86" i="62"/>
  <c r="P86" i="62"/>
  <c r="X86" i="62" s="1"/>
  <c r="N86" i="62"/>
  <c r="H86" i="62"/>
  <c r="L86" i="62" s="1"/>
  <c r="D86" i="62"/>
  <c r="B86" i="62"/>
  <c r="X85" i="62"/>
  <c r="Z85" i="62" s="1"/>
  <c r="L85" i="62"/>
  <c r="N85" i="62" s="1"/>
  <c r="B85" i="62"/>
  <c r="Z84" i="62"/>
  <c r="T84" i="62"/>
  <c r="X84" i="62" s="1"/>
  <c r="R84" i="62"/>
  <c r="P84" i="62"/>
  <c r="L84" i="62"/>
  <c r="N84" i="62" s="1"/>
  <c r="J84" i="62"/>
  <c r="H84" i="62"/>
  <c r="D84" i="62"/>
  <c r="B84" i="62"/>
  <c r="X83" i="62"/>
  <c r="Z83" i="62" s="1"/>
  <c r="L83" i="62"/>
  <c r="N83" i="62" s="1"/>
  <c r="B83" i="62"/>
  <c r="X82" i="62"/>
  <c r="Z82" i="62" s="1"/>
  <c r="T82" i="62"/>
  <c r="P82" i="62"/>
  <c r="N82" i="62"/>
  <c r="H82" i="62"/>
  <c r="D82" i="62"/>
  <c r="L82" i="62" s="1"/>
  <c r="B82" i="62"/>
  <c r="X81" i="62"/>
  <c r="Z81" i="62" s="1"/>
  <c r="R81" i="62"/>
  <c r="N81" i="62"/>
  <c r="L81" i="62"/>
  <c r="B81" i="62"/>
  <c r="Z80" i="62"/>
  <c r="X80" i="62"/>
  <c r="R80" i="62"/>
  <c r="N80" i="62"/>
  <c r="L80" i="62"/>
  <c r="B80" i="62"/>
  <c r="X79" i="62"/>
  <c r="Z79" i="62" s="1"/>
  <c r="L79" i="62"/>
  <c r="N79" i="62" s="1"/>
  <c r="B79" i="62"/>
  <c r="Z78" i="62"/>
  <c r="X78" i="62"/>
  <c r="N78" i="62"/>
  <c r="L78" i="62"/>
  <c r="J78" i="62"/>
  <c r="B78" i="62"/>
  <c r="Z77" i="62"/>
  <c r="X77" i="62"/>
  <c r="R77" i="62"/>
  <c r="N77" i="62"/>
  <c r="L77" i="62"/>
  <c r="B77" i="62"/>
  <c r="Z76" i="62"/>
  <c r="T76" i="62"/>
  <c r="X76" i="62" s="1"/>
  <c r="R76" i="62"/>
  <c r="P76" i="62"/>
  <c r="L76" i="62"/>
  <c r="N76" i="62" s="1"/>
  <c r="J76" i="62"/>
  <c r="H76" i="62"/>
  <c r="D76" i="62"/>
  <c r="B76" i="62"/>
  <c r="X75" i="62"/>
  <c r="Z75" i="62" s="1"/>
  <c r="L75" i="62"/>
  <c r="N75" i="62" s="1"/>
  <c r="B75" i="62"/>
  <c r="T74" i="62"/>
  <c r="R74" i="62"/>
  <c r="P74" i="62"/>
  <c r="X74" i="62" s="1"/>
  <c r="Z74" i="62" s="1"/>
  <c r="H74" i="62"/>
  <c r="D74" i="62"/>
  <c r="B74" i="62"/>
  <c r="Z73" i="62"/>
  <c r="X73" i="62"/>
  <c r="N73" i="62"/>
  <c r="L73" i="62"/>
  <c r="B73" i="62"/>
  <c r="Z72" i="62"/>
  <c r="X72" i="62"/>
  <c r="N72" i="62"/>
  <c r="L72" i="62"/>
  <c r="B72" i="62"/>
  <c r="T71" i="62"/>
  <c r="X71" i="62" s="1"/>
  <c r="P71" i="62"/>
  <c r="L71" i="62"/>
  <c r="N71" i="62" s="1"/>
  <c r="J71" i="62"/>
  <c r="H71" i="62"/>
  <c r="D71" i="62"/>
  <c r="B71" i="62"/>
  <c r="Z70" i="62"/>
  <c r="X70" i="62"/>
  <c r="V70" i="62"/>
  <c r="R70" i="62"/>
  <c r="N70" i="62"/>
  <c r="L70" i="62"/>
  <c r="J70" i="62"/>
  <c r="B70" i="62"/>
  <c r="X69" i="62"/>
  <c r="Z69" i="62" s="1"/>
  <c r="L69" i="62"/>
  <c r="N69" i="62" s="1"/>
  <c r="B69" i="62"/>
  <c r="Z68" i="62"/>
  <c r="X68" i="62"/>
  <c r="N68" i="62"/>
  <c r="L68" i="62"/>
  <c r="B68" i="62"/>
  <c r="Z67" i="62"/>
  <c r="X67" i="62"/>
  <c r="R67" i="62"/>
  <c r="N67" i="62"/>
  <c r="L67" i="62"/>
  <c r="B67" i="62"/>
  <c r="T66" i="62"/>
  <c r="P66" i="62"/>
  <c r="X66" i="62" s="1"/>
  <c r="N66" i="62"/>
  <c r="L66" i="62"/>
  <c r="H66" i="62"/>
  <c r="D66" i="62"/>
  <c r="B66" i="62"/>
  <c r="X65" i="62"/>
  <c r="Z65" i="62" s="1"/>
  <c r="V65" i="62"/>
  <c r="L65" i="62"/>
  <c r="N65" i="62" s="1"/>
  <c r="B65" i="62"/>
  <c r="X64" i="62"/>
  <c r="Z64" i="62" s="1"/>
  <c r="T64" i="62"/>
  <c r="R64" i="62"/>
  <c r="P64" i="62"/>
  <c r="J64" i="62"/>
  <c r="H64" i="62"/>
  <c r="D64" i="62"/>
  <c r="B64" i="62"/>
  <c r="Z63" i="62"/>
  <c r="X63" i="62"/>
  <c r="R63" i="62"/>
  <c r="N63" i="62"/>
  <c r="L63" i="62"/>
  <c r="F63" i="62"/>
  <c r="B63" i="62"/>
  <c r="T62" i="62"/>
  <c r="P62" i="62"/>
  <c r="H62" i="62"/>
  <c r="F62" i="62"/>
  <c r="D62" i="62"/>
  <c r="L62" i="62" s="1"/>
  <c r="N62" i="62" s="1"/>
  <c r="B62" i="62"/>
  <c r="X61" i="62"/>
  <c r="Z61" i="62" s="1"/>
  <c r="L61" i="62"/>
  <c r="N61" i="62" s="1"/>
  <c r="J61" i="62"/>
  <c r="B61" i="62"/>
  <c r="Z60" i="62"/>
  <c r="T60" i="62"/>
  <c r="R60" i="62"/>
  <c r="P60" i="62"/>
  <c r="X60" i="62" s="1"/>
  <c r="H60" i="62"/>
  <c r="N60" i="62" s="1"/>
  <c r="D60" i="62"/>
  <c r="L60" i="62" s="1"/>
  <c r="B60" i="62"/>
  <c r="Z59" i="62"/>
  <c r="X59" i="62"/>
  <c r="R59" i="62"/>
  <c r="N59" i="62"/>
  <c r="L59" i="62"/>
  <c r="B59" i="62"/>
  <c r="T58" i="62"/>
  <c r="P58" i="62"/>
  <c r="X58" i="62" s="1"/>
  <c r="N58" i="62"/>
  <c r="L58" i="62"/>
  <c r="H58" i="62"/>
  <c r="D58" i="62"/>
  <c r="B58" i="62"/>
  <c r="X57" i="62"/>
  <c r="Z57" i="62" s="1"/>
  <c r="V57" i="62"/>
  <c r="L57" i="62"/>
  <c r="N57" i="62" s="1"/>
  <c r="B57" i="62"/>
  <c r="X56" i="62"/>
  <c r="Z56" i="62" s="1"/>
  <c r="T56" i="62"/>
  <c r="R56" i="62"/>
  <c r="P56" i="62"/>
  <c r="J56" i="62"/>
  <c r="H56" i="62"/>
  <c r="D56" i="62"/>
  <c r="B56" i="62"/>
  <c r="Z55" i="62"/>
  <c r="X55" i="62"/>
  <c r="R55" i="62"/>
  <c r="N55" i="62"/>
  <c r="L55" i="62"/>
  <c r="F55" i="62"/>
  <c r="B55" i="62"/>
  <c r="T54" i="62"/>
  <c r="P54" i="62"/>
  <c r="H54" i="62"/>
  <c r="F54" i="62"/>
  <c r="D54" i="62"/>
  <c r="L54" i="62" s="1"/>
  <c r="N54" i="62" s="1"/>
  <c r="B54" i="62"/>
  <c r="X53" i="62"/>
  <c r="Z53" i="62" s="1"/>
  <c r="L53" i="62"/>
  <c r="N53" i="62" s="1"/>
  <c r="J53" i="62"/>
  <c r="B53" i="62"/>
  <c r="Z52" i="62"/>
  <c r="T52" i="62"/>
  <c r="R52" i="62"/>
  <c r="P52" i="62"/>
  <c r="X52" i="62" s="1"/>
  <c r="H52" i="62"/>
  <c r="N52" i="62" s="1"/>
  <c r="D52" i="62"/>
  <c r="L52" i="62" s="1"/>
  <c r="B52" i="62"/>
  <c r="Z51" i="62"/>
  <c r="X51" i="62"/>
  <c r="R51" i="62"/>
  <c r="N51" i="62"/>
  <c r="L51" i="62"/>
  <c r="B51" i="62"/>
  <c r="T50" i="62"/>
  <c r="Z50" i="62" s="1"/>
  <c r="P50" i="62"/>
  <c r="X50" i="62" s="1"/>
  <c r="N50" i="62"/>
  <c r="L50" i="62"/>
  <c r="H50" i="62"/>
  <c r="D50" i="62"/>
  <c r="B50" i="62"/>
  <c r="X49" i="62"/>
  <c r="Z49" i="62" s="1"/>
  <c r="V49" i="62"/>
  <c r="L49" i="62"/>
  <c r="N49" i="62" s="1"/>
  <c r="B49" i="62"/>
  <c r="Z48" i="62"/>
  <c r="X48" i="62"/>
  <c r="N48" i="62"/>
  <c r="L48" i="62"/>
  <c r="B48" i="62"/>
  <c r="T47" i="62"/>
  <c r="P47" i="62"/>
  <c r="J47" i="62"/>
  <c r="H47" i="62"/>
  <c r="D47" i="62"/>
  <c r="L47" i="62" s="1"/>
  <c r="N47" i="62" s="1"/>
  <c r="B47" i="62"/>
  <c r="X46" i="62"/>
  <c r="Z46" i="62" s="1"/>
  <c r="V46" i="62"/>
  <c r="R46" i="62"/>
  <c r="N46" i="62"/>
  <c r="L46" i="62"/>
  <c r="J46" i="62"/>
  <c r="B46" i="62"/>
  <c r="X45" i="62"/>
  <c r="Z45" i="62" s="1"/>
  <c r="V45" i="62"/>
  <c r="T45" i="62"/>
  <c r="P45" i="62"/>
  <c r="H45" i="62"/>
  <c r="D45" i="62"/>
  <c r="B45" i="62"/>
  <c r="Z44" i="62"/>
  <c r="X44" i="62"/>
  <c r="N44" i="62"/>
  <c r="L44" i="62"/>
  <c r="B44" i="62"/>
  <c r="T43" i="62"/>
  <c r="R43" i="62"/>
  <c r="P43" i="62"/>
  <c r="H43" i="62"/>
  <c r="N43" i="62" s="1"/>
  <c r="D43" i="62"/>
  <c r="L43" i="62" s="1"/>
  <c r="B43" i="62"/>
  <c r="Z42" i="62"/>
  <c r="X42" i="62"/>
  <c r="N42" i="62"/>
  <c r="L42" i="62"/>
  <c r="J42" i="62"/>
  <c r="F42" i="62"/>
  <c r="B42" i="62"/>
  <c r="T41" i="62"/>
  <c r="Z41" i="62" s="1"/>
  <c r="P41" i="62"/>
  <c r="X41" i="62" s="1"/>
  <c r="H41" i="62"/>
  <c r="N41" i="62" s="1"/>
  <c r="D41" i="62"/>
  <c r="L41" i="62" s="1"/>
  <c r="B41" i="62"/>
  <c r="Z40" i="62"/>
  <c r="X40" i="62"/>
  <c r="N40" i="62"/>
  <c r="L40" i="62"/>
  <c r="B40" i="62"/>
  <c r="Z39" i="62"/>
  <c r="X39" i="62"/>
  <c r="R39" i="62"/>
  <c r="N39" i="62"/>
  <c r="L39" i="62"/>
  <c r="B39" i="62"/>
  <c r="Z38" i="62"/>
  <c r="X38" i="62"/>
  <c r="V38" i="62"/>
  <c r="L38" i="62"/>
  <c r="N38" i="62" s="1"/>
  <c r="J38" i="62"/>
  <c r="B38" i="62"/>
  <c r="X37" i="62"/>
  <c r="Z37" i="62" s="1"/>
  <c r="L37" i="62"/>
  <c r="N37" i="62" s="1"/>
  <c r="J37" i="62"/>
  <c r="B37" i="62"/>
  <c r="Z36" i="62"/>
  <c r="X36" i="62"/>
  <c r="N36" i="62"/>
  <c r="L36" i="62"/>
  <c r="B36" i="62"/>
  <c r="Z35" i="62"/>
  <c r="X35" i="62"/>
  <c r="R35" i="62"/>
  <c r="N35" i="62"/>
  <c r="L35" i="62"/>
  <c r="B35" i="62"/>
  <c r="X34" i="62"/>
  <c r="Z34" i="62" s="1"/>
  <c r="R34" i="62"/>
  <c r="N34" i="62"/>
  <c r="L34" i="62"/>
  <c r="J34" i="62"/>
  <c r="B34" i="62"/>
  <c r="Z33" i="62"/>
  <c r="X33" i="62"/>
  <c r="N33" i="62"/>
  <c r="L33" i="62"/>
  <c r="B33" i="62"/>
  <c r="Z32" i="62"/>
  <c r="X32" i="62"/>
  <c r="N32" i="62"/>
  <c r="L32" i="62"/>
  <c r="B32" i="62"/>
  <c r="Z31" i="62"/>
  <c r="X31" i="62"/>
  <c r="R31" i="62"/>
  <c r="N31" i="62"/>
  <c r="L31" i="62"/>
  <c r="B31" i="62"/>
  <c r="T30" i="62"/>
  <c r="P30" i="62"/>
  <c r="X30" i="62" s="1"/>
  <c r="N30" i="62"/>
  <c r="L30" i="62"/>
  <c r="H30" i="62"/>
  <c r="D30" i="62"/>
  <c r="B30" i="62"/>
  <c r="Z29" i="62"/>
  <c r="X29" i="62"/>
  <c r="V29" i="62"/>
  <c r="N29" i="62"/>
  <c r="L29" i="62"/>
  <c r="B29" i="62"/>
  <c r="Z28" i="62"/>
  <c r="X28" i="62"/>
  <c r="N28" i="62"/>
  <c r="L28" i="62"/>
  <c r="B28" i="62"/>
  <c r="Z27" i="62"/>
  <c r="X27" i="62"/>
  <c r="R27" i="62"/>
  <c r="N27" i="62"/>
  <c r="L27" i="62"/>
  <c r="B27" i="62"/>
  <c r="Z26" i="62"/>
  <c r="X26" i="62"/>
  <c r="N26" i="62"/>
  <c r="L26" i="62"/>
  <c r="B26" i="62"/>
  <c r="Z25" i="62"/>
  <c r="X25" i="62"/>
  <c r="N25" i="62"/>
  <c r="L25" i="62"/>
  <c r="J25" i="62"/>
  <c r="B25" i="62"/>
  <c r="Z24" i="62"/>
  <c r="X24" i="62"/>
  <c r="N24" i="62"/>
  <c r="L24" i="62"/>
  <c r="B24" i="62"/>
  <c r="Z23" i="62"/>
  <c r="X23" i="62"/>
  <c r="R23" i="62"/>
  <c r="N23" i="62"/>
  <c r="L23" i="62"/>
  <c r="F23" i="62"/>
  <c r="B23" i="62"/>
  <c r="X22" i="62"/>
  <c r="Z22" i="62" s="1"/>
  <c r="R22" i="62"/>
  <c r="L22" i="62"/>
  <c r="N22" i="62" s="1"/>
  <c r="J22" i="62"/>
  <c r="B22" i="62"/>
  <c r="X21" i="62"/>
  <c r="Z21" i="62" s="1"/>
  <c r="L21" i="62"/>
  <c r="N21" i="62" s="1"/>
  <c r="B21" i="62"/>
  <c r="Z20" i="62"/>
  <c r="X20" i="62"/>
  <c r="N20" i="62"/>
  <c r="L20" i="62"/>
  <c r="B20" i="62"/>
  <c r="T19" i="62"/>
  <c r="P19" i="62"/>
  <c r="X19" i="62" s="1"/>
  <c r="Z19" i="62" s="1"/>
  <c r="H19" i="62"/>
  <c r="D19" i="62"/>
  <c r="L19" i="62" s="1"/>
  <c r="N19" i="62" s="1"/>
  <c r="B19" i="62"/>
  <c r="T18" i="62"/>
  <c r="P18" i="62"/>
  <c r="X18" i="62" s="1"/>
  <c r="H18" i="62"/>
  <c r="D18" i="62"/>
  <c r="L18" i="62" s="1"/>
  <c r="N18" i="62" s="1"/>
  <c r="V16" i="62"/>
  <c r="V14" i="62"/>
  <c r="T14" i="62"/>
  <c r="P14" i="62"/>
  <c r="N14" i="62"/>
  <c r="H14" i="62"/>
  <c r="D14" i="62"/>
  <c r="L14" i="62" s="1"/>
  <c r="T12" i="62"/>
  <c r="V86" i="62" s="1"/>
  <c r="P12" i="62"/>
  <c r="R66" i="62" s="1"/>
  <c r="H12" i="62"/>
  <c r="D12" i="62"/>
  <c r="F86" i="62" s="1"/>
  <c r="D6" i="62"/>
  <c r="D4" i="62"/>
  <c r="R64" i="61"/>
  <c r="R61" i="61"/>
  <c r="J61" i="61"/>
  <c r="Z59" i="61"/>
  <c r="X59" i="61"/>
  <c r="N59" i="61"/>
  <c r="L59" i="61"/>
  <c r="R57" i="61"/>
  <c r="P57" i="61"/>
  <c r="Z55" i="61"/>
  <c r="X55" i="61"/>
  <c r="T55" i="61"/>
  <c r="R55" i="61"/>
  <c r="P55" i="61"/>
  <c r="J55" i="61"/>
  <c r="H55" i="61"/>
  <c r="N55" i="61" s="1"/>
  <c r="D55" i="61"/>
  <c r="Z53" i="61"/>
  <c r="X53" i="61"/>
  <c r="N53" i="61"/>
  <c r="L53" i="61"/>
  <c r="B53" i="61"/>
  <c r="T52" i="61"/>
  <c r="R52" i="61"/>
  <c r="P52" i="61"/>
  <c r="N52" i="61"/>
  <c r="L52" i="61"/>
  <c r="H52" i="61"/>
  <c r="D52" i="61"/>
  <c r="B52" i="61"/>
  <c r="X51" i="61"/>
  <c r="Z51" i="61" s="1"/>
  <c r="V51" i="61"/>
  <c r="R51" i="61"/>
  <c r="L51" i="61"/>
  <c r="N51" i="61" s="1"/>
  <c r="F51" i="61"/>
  <c r="B51" i="61"/>
  <c r="X50" i="61"/>
  <c r="Z50" i="61" s="1"/>
  <c r="L50" i="61"/>
  <c r="N50" i="61" s="1"/>
  <c r="J50" i="61"/>
  <c r="B50" i="61"/>
  <c r="Z49" i="61"/>
  <c r="T49" i="61"/>
  <c r="R49" i="61"/>
  <c r="P49" i="61"/>
  <c r="X49" i="61" s="1"/>
  <c r="H49" i="61"/>
  <c r="L49" i="61" s="1"/>
  <c r="D49" i="61"/>
  <c r="B49" i="61"/>
  <c r="Z48" i="61"/>
  <c r="X48" i="61"/>
  <c r="R48" i="61"/>
  <c r="N48" i="61"/>
  <c r="L48" i="61"/>
  <c r="F48" i="61"/>
  <c r="B48" i="61"/>
  <c r="T47" i="61"/>
  <c r="X47" i="61" s="1"/>
  <c r="P47" i="61"/>
  <c r="N47" i="61"/>
  <c r="L47" i="61"/>
  <c r="H47" i="61"/>
  <c r="F47" i="61"/>
  <c r="D47" i="61"/>
  <c r="B47" i="61"/>
  <c r="Z46" i="61"/>
  <c r="X46" i="61"/>
  <c r="N46" i="61"/>
  <c r="L46" i="61"/>
  <c r="B46" i="61"/>
  <c r="Z45" i="61"/>
  <c r="X45" i="61"/>
  <c r="N45" i="61"/>
  <c r="L45" i="61"/>
  <c r="B45" i="61"/>
  <c r="T44" i="61"/>
  <c r="Z44" i="61" s="1"/>
  <c r="R44" i="61"/>
  <c r="P44" i="61"/>
  <c r="X44" i="61" s="1"/>
  <c r="H44" i="61"/>
  <c r="D44" i="61"/>
  <c r="L44" i="61" s="1"/>
  <c r="N44" i="61" s="1"/>
  <c r="B44" i="61"/>
  <c r="X43" i="61"/>
  <c r="Z43" i="61" s="1"/>
  <c r="V43" i="61"/>
  <c r="R43" i="61"/>
  <c r="N43" i="61"/>
  <c r="L43" i="61"/>
  <c r="F43" i="61"/>
  <c r="B43" i="61"/>
  <c r="X42" i="61"/>
  <c r="Z42" i="61" s="1"/>
  <c r="V42" i="61"/>
  <c r="T42" i="61"/>
  <c r="P42" i="61"/>
  <c r="H42" i="61"/>
  <c r="N42" i="61" s="1"/>
  <c r="F42" i="61"/>
  <c r="D42" i="61"/>
  <c r="L42" i="61" s="1"/>
  <c r="B42" i="61"/>
  <c r="Z41" i="61"/>
  <c r="X41" i="61"/>
  <c r="N41" i="61"/>
  <c r="L41" i="61"/>
  <c r="B41" i="61"/>
  <c r="T40" i="61"/>
  <c r="Z40" i="61" s="1"/>
  <c r="R40" i="61"/>
  <c r="P40" i="61"/>
  <c r="X40" i="61" s="1"/>
  <c r="L40" i="61"/>
  <c r="N40" i="61" s="1"/>
  <c r="J40" i="61"/>
  <c r="H40" i="61"/>
  <c r="D40" i="61"/>
  <c r="B40" i="61"/>
  <c r="Z39" i="61"/>
  <c r="X39" i="61"/>
  <c r="V39" i="61"/>
  <c r="R39" i="61"/>
  <c r="N39" i="61"/>
  <c r="L39" i="61"/>
  <c r="F39" i="61"/>
  <c r="B39" i="61"/>
  <c r="Z38" i="61"/>
  <c r="X38" i="61"/>
  <c r="V38" i="61"/>
  <c r="N38" i="61"/>
  <c r="L38" i="61"/>
  <c r="B38" i="61"/>
  <c r="Z37" i="61"/>
  <c r="X37" i="61"/>
  <c r="N37" i="61"/>
  <c r="L37" i="61"/>
  <c r="B37" i="61"/>
  <c r="Z36" i="61"/>
  <c r="X36" i="61"/>
  <c r="R36" i="61"/>
  <c r="N36" i="61"/>
  <c r="L36" i="61"/>
  <c r="F36" i="61"/>
  <c r="B36" i="61"/>
  <c r="Z35" i="61"/>
  <c r="X35" i="61"/>
  <c r="R35" i="61"/>
  <c r="N35" i="61"/>
  <c r="L35" i="61"/>
  <c r="F35" i="61"/>
  <c r="B35" i="61"/>
  <c r="Z34" i="61"/>
  <c r="X34" i="61"/>
  <c r="N34" i="61"/>
  <c r="L34" i="61"/>
  <c r="B34" i="61"/>
  <c r="Z33" i="61"/>
  <c r="X33" i="61"/>
  <c r="L33" i="61"/>
  <c r="N33" i="61" s="1"/>
  <c r="B33" i="61"/>
  <c r="Z32" i="61"/>
  <c r="X32" i="61"/>
  <c r="R32" i="61"/>
  <c r="N32" i="61"/>
  <c r="L32" i="61"/>
  <c r="F32" i="61"/>
  <c r="B32" i="61"/>
  <c r="Z31" i="61"/>
  <c r="X31" i="61"/>
  <c r="V31" i="61"/>
  <c r="R31" i="61"/>
  <c r="N31" i="61"/>
  <c r="L31" i="61"/>
  <c r="F31" i="61"/>
  <c r="B31" i="61"/>
  <c r="Z30" i="61"/>
  <c r="X30" i="61"/>
  <c r="V30" i="61"/>
  <c r="N30" i="61"/>
  <c r="L30" i="61"/>
  <c r="B30" i="61"/>
  <c r="T29" i="61"/>
  <c r="R29" i="61"/>
  <c r="P29" i="61"/>
  <c r="X29" i="61" s="1"/>
  <c r="Z29" i="61" s="1"/>
  <c r="H29" i="61"/>
  <c r="D29" i="61"/>
  <c r="B29" i="61"/>
  <c r="Z28" i="61"/>
  <c r="X28" i="61"/>
  <c r="R28" i="61"/>
  <c r="N28" i="61"/>
  <c r="L28" i="61"/>
  <c r="F28" i="61"/>
  <c r="B28" i="61"/>
  <c r="X27" i="61"/>
  <c r="Z27" i="61" s="1"/>
  <c r="R27" i="61"/>
  <c r="L27" i="61"/>
  <c r="N27" i="61" s="1"/>
  <c r="J27" i="61"/>
  <c r="F27" i="61"/>
  <c r="B27" i="61"/>
  <c r="X26" i="61"/>
  <c r="Z26" i="61" s="1"/>
  <c r="V26" i="61"/>
  <c r="L26" i="61"/>
  <c r="N26" i="61" s="1"/>
  <c r="B26" i="61"/>
  <c r="Z25" i="61"/>
  <c r="X25" i="61"/>
  <c r="R25" i="61"/>
  <c r="N25" i="61"/>
  <c r="L25" i="61"/>
  <c r="B25" i="61"/>
  <c r="Z24" i="61"/>
  <c r="X24" i="61"/>
  <c r="R24" i="61"/>
  <c r="N24" i="61"/>
  <c r="L24" i="61"/>
  <c r="F24" i="61"/>
  <c r="B24" i="61"/>
  <c r="X23" i="61"/>
  <c r="Z23" i="61" s="1"/>
  <c r="V23" i="61"/>
  <c r="R23" i="61"/>
  <c r="L23" i="61"/>
  <c r="N23" i="61" s="1"/>
  <c r="F23" i="61"/>
  <c r="B23" i="61"/>
  <c r="X22" i="61"/>
  <c r="Z22" i="61" s="1"/>
  <c r="L22" i="61"/>
  <c r="N22" i="61" s="1"/>
  <c r="J22" i="61"/>
  <c r="B22" i="61"/>
  <c r="Z21" i="61"/>
  <c r="X21" i="61"/>
  <c r="R21" i="61"/>
  <c r="N21" i="61"/>
  <c r="L21" i="61"/>
  <c r="B21" i="61"/>
  <c r="Z20" i="61"/>
  <c r="X20" i="61"/>
  <c r="R20" i="61"/>
  <c r="N20" i="61"/>
  <c r="L20" i="61"/>
  <c r="F20" i="61"/>
  <c r="B20" i="61"/>
  <c r="V19" i="61"/>
  <c r="T19" i="61"/>
  <c r="P19" i="61"/>
  <c r="N19" i="61"/>
  <c r="L19" i="61"/>
  <c r="H19" i="61"/>
  <c r="F19" i="61"/>
  <c r="D19" i="61"/>
  <c r="B19" i="61"/>
  <c r="X18" i="61"/>
  <c r="Z18" i="61" s="1"/>
  <c r="V18" i="61"/>
  <c r="T18" i="61"/>
  <c r="R18" i="61"/>
  <c r="P18" i="61"/>
  <c r="H18" i="61"/>
  <c r="F18" i="61"/>
  <c r="D18" i="61"/>
  <c r="L18" i="61" s="1"/>
  <c r="N18" i="61" s="1"/>
  <c r="R16" i="61"/>
  <c r="F16" i="61"/>
  <c r="X14" i="61"/>
  <c r="V14" i="61"/>
  <c r="T14" i="61"/>
  <c r="Z14" i="61" s="1"/>
  <c r="R14" i="61"/>
  <c r="P14" i="61"/>
  <c r="P16" i="61" s="1"/>
  <c r="N14" i="61"/>
  <c r="H14" i="61"/>
  <c r="F14" i="61"/>
  <c r="D14" i="61"/>
  <c r="L14" i="61" s="1"/>
  <c r="X12" i="61"/>
  <c r="T12" i="61"/>
  <c r="P12" i="61"/>
  <c r="R45" i="61" s="1"/>
  <c r="H12" i="61"/>
  <c r="H16" i="61" s="1"/>
  <c r="D12" i="61"/>
  <c r="F59" i="61" s="1"/>
  <c r="D6" i="61"/>
  <c r="D4" i="61"/>
  <c r="R62" i="60"/>
  <c r="Z60" i="60"/>
  <c r="X60" i="60"/>
  <c r="R60" i="60"/>
  <c r="N60" i="60"/>
  <c r="L60" i="60"/>
  <c r="R58" i="60"/>
  <c r="Z56" i="60"/>
  <c r="T56" i="60"/>
  <c r="X56" i="60" s="1"/>
  <c r="P56" i="60"/>
  <c r="H56" i="60"/>
  <c r="N56" i="60" s="1"/>
  <c r="D56" i="60"/>
  <c r="L56" i="60" s="1"/>
  <c r="Z54" i="60"/>
  <c r="X54" i="60"/>
  <c r="N54" i="60"/>
  <c r="L54" i="60"/>
  <c r="B54" i="60"/>
  <c r="V53" i="60"/>
  <c r="T53" i="60"/>
  <c r="P53" i="60"/>
  <c r="H53" i="60"/>
  <c r="D53" i="60"/>
  <c r="L53" i="60" s="1"/>
  <c r="N53" i="60" s="1"/>
  <c r="B53" i="60"/>
  <c r="X52" i="60"/>
  <c r="Z52" i="60" s="1"/>
  <c r="N52" i="60"/>
  <c r="L52" i="60"/>
  <c r="B52" i="60"/>
  <c r="X51" i="60"/>
  <c r="Z51" i="60" s="1"/>
  <c r="N51" i="60"/>
  <c r="L51" i="60"/>
  <c r="B51" i="60"/>
  <c r="Z50" i="60"/>
  <c r="X50" i="60"/>
  <c r="N50" i="60"/>
  <c r="L50" i="60"/>
  <c r="F50" i="60"/>
  <c r="B50" i="60"/>
  <c r="T49" i="60"/>
  <c r="P49" i="60"/>
  <c r="X49" i="60" s="1"/>
  <c r="L49" i="60"/>
  <c r="N49" i="60" s="1"/>
  <c r="H49" i="60"/>
  <c r="F49" i="60"/>
  <c r="D49" i="60"/>
  <c r="B49" i="60"/>
  <c r="X48" i="60"/>
  <c r="Z48" i="60" s="1"/>
  <c r="L48" i="60"/>
  <c r="N48" i="60" s="1"/>
  <c r="B48" i="60"/>
  <c r="Z47" i="60"/>
  <c r="T47" i="60"/>
  <c r="R47" i="60"/>
  <c r="P47" i="60"/>
  <c r="X47" i="60" s="1"/>
  <c r="H47" i="60"/>
  <c r="D47" i="60"/>
  <c r="B47" i="60"/>
  <c r="Z46" i="60"/>
  <c r="X46" i="60"/>
  <c r="R46" i="60"/>
  <c r="N46" i="60"/>
  <c r="L46" i="60"/>
  <c r="B46" i="60"/>
  <c r="X45" i="60"/>
  <c r="Z45" i="60" s="1"/>
  <c r="L45" i="60"/>
  <c r="N45" i="60" s="1"/>
  <c r="B45" i="60"/>
  <c r="X44" i="60"/>
  <c r="Z44" i="60" s="1"/>
  <c r="V44" i="60"/>
  <c r="T44" i="60"/>
  <c r="P44" i="60"/>
  <c r="H44" i="60"/>
  <c r="L44" i="60" s="1"/>
  <c r="N44" i="60" s="1"/>
  <c r="D44" i="60"/>
  <c r="B44" i="60"/>
  <c r="Z43" i="60"/>
  <c r="X43" i="60"/>
  <c r="L43" i="60"/>
  <c r="N43" i="60" s="1"/>
  <c r="B43" i="60"/>
  <c r="T42" i="60"/>
  <c r="X42" i="60" s="1"/>
  <c r="R42" i="60"/>
  <c r="P42" i="60"/>
  <c r="H42" i="60"/>
  <c r="D42" i="60"/>
  <c r="L42" i="60" s="1"/>
  <c r="B42" i="60"/>
  <c r="Z41" i="60"/>
  <c r="X41" i="60"/>
  <c r="V41" i="60"/>
  <c r="R41" i="60"/>
  <c r="N41" i="60"/>
  <c r="L41" i="60"/>
  <c r="B41" i="60"/>
  <c r="X40" i="60"/>
  <c r="V40" i="60"/>
  <c r="T40" i="60"/>
  <c r="Z40" i="60" s="1"/>
  <c r="P40" i="60"/>
  <c r="H40" i="60"/>
  <c r="N40" i="60" s="1"/>
  <c r="D40" i="60"/>
  <c r="B40" i="60"/>
  <c r="Z39" i="60"/>
  <c r="X39" i="60"/>
  <c r="N39" i="60"/>
  <c r="L39" i="60"/>
  <c r="B39" i="60"/>
  <c r="Z38" i="60"/>
  <c r="X38" i="60"/>
  <c r="R38" i="60"/>
  <c r="N38" i="60"/>
  <c r="L38" i="60"/>
  <c r="B38" i="60"/>
  <c r="Z37" i="60"/>
  <c r="X37" i="60"/>
  <c r="R37" i="60"/>
  <c r="N37" i="60"/>
  <c r="L37" i="60"/>
  <c r="F37" i="60"/>
  <c r="B37" i="60"/>
  <c r="Z36" i="60"/>
  <c r="X36" i="60"/>
  <c r="V36" i="60"/>
  <c r="N36" i="60"/>
  <c r="L36" i="60"/>
  <c r="B36" i="60"/>
  <c r="Z35" i="60"/>
  <c r="X35" i="60"/>
  <c r="N35" i="60"/>
  <c r="L35" i="60"/>
  <c r="B35" i="60"/>
  <c r="Z34" i="60"/>
  <c r="X34" i="60"/>
  <c r="R34" i="60"/>
  <c r="N34" i="60"/>
  <c r="L34" i="60"/>
  <c r="B34" i="60"/>
  <c r="X33" i="60"/>
  <c r="Z33" i="60" s="1"/>
  <c r="L33" i="60"/>
  <c r="N33" i="60" s="1"/>
  <c r="B33" i="60"/>
  <c r="Z32" i="60"/>
  <c r="X32" i="60"/>
  <c r="N32" i="60"/>
  <c r="L32" i="60"/>
  <c r="B32" i="60"/>
  <c r="Z31" i="60"/>
  <c r="X31" i="60"/>
  <c r="N31" i="60"/>
  <c r="L31" i="60"/>
  <c r="B31" i="60"/>
  <c r="Z30" i="60"/>
  <c r="X30" i="60"/>
  <c r="N30" i="60"/>
  <c r="L30" i="60"/>
  <c r="F30" i="60"/>
  <c r="B30" i="60"/>
  <c r="T29" i="60"/>
  <c r="P29" i="60"/>
  <c r="L29" i="60"/>
  <c r="N29" i="60" s="1"/>
  <c r="H29" i="60"/>
  <c r="F29" i="60"/>
  <c r="D29" i="60"/>
  <c r="B29" i="60"/>
  <c r="X28" i="60"/>
  <c r="Z28" i="60" s="1"/>
  <c r="L28" i="60"/>
  <c r="N28" i="60" s="1"/>
  <c r="B28" i="60"/>
  <c r="Z27" i="60"/>
  <c r="X27" i="60"/>
  <c r="L27" i="60"/>
  <c r="N27" i="60" s="1"/>
  <c r="B27" i="60"/>
  <c r="Z26" i="60"/>
  <c r="X26" i="60"/>
  <c r="R26" i="60"/>
  <c r="N26" i="60"/>
  <c r="L26" i="60"/>
  <c r="B26" i="60"/>
  <c r="Z25" i="60"/>
  <c r="X25" i="60"/>
  <c r="R25" i="60"/>
  <c r="N25" i="60"/>
  <c r="L25" i="60"/>
  <c r="F25" i="60"/>
  <c r="B25" i="60"/>
  <c r="Z24" i="60"/>
  <c r="X24" i="60"/>
  <c r="V24" i="60"/>
  <c r="N24" i="60"/>
  <c r="L24" i="60"/>
  <c r="B24" i="60"/>
  <c r="Z23" i="60"/>
  <c r="X23" i="60"/>
  <c r="L23" i="60"/>
  <c r="N23" i="60" s="1"/>
  <c r="B23" i="60"/>
  <c r="Z22" i="60"/>
  <c r="X22" i="60"/>
  <c r="R22" i="60"/>
  <c r="N22" i="60"/>
  <c r="L22" i="60"/>
  <c r="F22" i="60"/>
  <c r="B22" i="60"/>
  <c r="X21" i="60"/>
  <c r="Z21" i="60" s="1"/>
  <c r="R21" i="60"/>
  <c r="L21" i="60"/>
  <c r="N21" i="60" s="1"/>
  <c r="B21" i="60"/>
  <c r="X20" i="60"/>
  <c r="Z20" i="60" s="1"/>
  <c r="L20" i="60"/>
  <c r="N20" i="60" s="1"/>
  <c r="B20" i="60"/>
  <c r="X19" i="60"/>
  <c r="Z19" i="60" s="1"/>
  <c r="T19" i="60"/>
  <c r="R19" i="60"/>
  <c r="P19" i="60"/>
  <c r="H19" i="60"/>
  <c r="D19" i="60"/>
  <c r="B19" i="60"/>
  <c r="Z18" i="60"/>
  <c r="X18" i="60"/>
  <c r="T18" i="60"/>
  <c r="R18" i="60"/>
  <c r="P18" i="60"/>
  <c r="H18" i="60"/>
  <c r="F18" i="60"/>
  <c r="D18" i="60"/>
  <c r="R16" i="60"/>
  <c r="P16" i="60"/>
  <c r="F16" i="60"/>
  <c r="Z14" i="60"/>
  <c r="X14" i="60"/>
  <c r="V14" i="60"/>
  <c r="T14" i="60"/>
  <c r="R14" i="60"/>
  <c r="P14" i="60"/>
  <c r="H14" i="60"/>
  <c r="N14" i="60" s="1"/>
  <c r="F14" i="60"/>
  <c r="D14" i="60"/>
  <c r="L14" i="60" s="1"/>
  <c r="X12" i="60"/>
  <c r="T12" i="60"/>
  <c r="T16" i="60" s="1"/>
  <c r="P12" i="60"/>
  <c r="L12" i="60"/>
  <c r="H12" i="60"/>
  <c r="D12" i="60"/>
  <c r="D6" i="60"/>
  <c r="D4" i="60"/>
  <c r="R67" i="59"/>
  <c r="J64" i="59"/>
  <c r="Z62" i="59"/>
  <c r="X62" i="59"/>
  <c r="R62" i="59"/>
  <c r="N62" i="59"/>
  <c r="L62" i="59"/>
  <c r="F62" i="59"/>
  <c r="R60" i="59"/>
  <c r="D60" i="59"/>
  <c r="Z58" i="59"/>
  <c r="T58" i="59"/>
  <c r="X58" i="59" s="1"/>
  <c r="P58" i="59"/>
  <c r="N58" i="59"/>
  <c r="L58" i="59"/>
  <c r="J58" i="59"/>
  <c r="H58" i="59"/>
  <c r="D58" i="59"/>
  <c r="Z56" i="59"/>
  <c r="X56" i="59"/>
  <c r="R56" i="59"/>
  <c r="N56" i="59"/>
  <c r="L56" i="59"/>
  <c r="F56" i="59"/>
  <c r="B56" i="59"/>
  <c r="X55" i="59"/>
  <c r="Z55" i="59" s="1"/>
  <c r="R55" i="59"/>
  <c r="N55" i="59"/>
  <c r="L55" i="59"/>
  <c r="B55" i="59"/>
  <c r="X54" i="59"/>
  <c r="Z54" i="59" s="1"/>
  <c r="T54" i="59"/>
  <c r="P54" i="59"/>
  <c r="H54" i="59"/>
  <c r="F54" i="59"/>
  <c r="D54" i="59"/>
  <c r="B54" i="59"/>
  <c r="Z53" i="59"/>
  <c r="X53" i="59"/>
  <c r="N53" i="59"/>
  <c r="L53" i="59"/>
  <c r="B53" i="59"/>
  <c r="T52" i="59"/>
  <c r="R52" i="59"/>
  <c r="P52" i="59"/>
  <c r="H52" i="59"/>
  <c r="D52" i="59"/>
  <c r="L52" i="59" s="1"/>
  <c r="N52" i="59" s="1"/>
  <c r="B52" i="59"/>
  <c r="Z51" i="59"/>
  <c r="X51" i="59"/>
  <c r="N51" i="59"/>
  <c r="L51" i="59"/>
  <c r="J51" i="59"/>
  <c r="F51" i="59"/>
  <c r="B51" i="59"/>
  <c r="X50" i="59"/>
  <c r="Z50" i="59" s="1"/>
  <c r="L50" i="59"/>
  <c r="N50" i="59" s="1"/>
  <c r="J50" i="59"/>
  <c r="B50" i="59"/>
  <c r="Z49" i="59"/>
  <c r="X49" i="59"/>
  <c r="N49" i="59"/>
  <c r="L49" i="59"/>
  <c r="B49" i="59"/>
  <c r="Z48" i="59"/>
  <c r="X48" i="59"/>
  <c r="R48" i="59"/>
  <c r="N48" i="59"/>
  <c r="L48" i="59"/>
  <c r="F48" i="59"/>
  <c r="B48" i="59"/>
  <c r="T47" i="59"/>
  <c r="P47" i="59"/>
  <c r="H47" i="59"/>
  <c r="F47" i="59"/>
  <c r="D47" i="59"/>
  <c r="L47" i="59" s="1"/>
  <c r="N47" i="59" s="1"/>
  <c r="B47" i="59"/>
  <c r="X46" i="59"/>
  <c r="Z46" i="59" s="1"/>
  <c r="L46" i="59"/>
  <c r="N46" i="59" s="1"/>
  <c r="J46" i="59"/>
  <c r="B46" i="59"/>
  <c r="T45" i="59"/>
  <c r="R45" i="59"/>
  <c r="P45" i="59"/>
  <c r="X45" i="59" s="1"/>
  <c r="Z45" i="59" s="1"/>
  <c r="H45" i="59"/>
  <c r="N45" i="59" s="1"/>
  <c r="D45" i="59"/>
  <c r="L45" i="59" s="1"/>
  <c r="B45" i="59"/>
  <c r="Z44" i="59"/>
  <c r="X44" i="59"/>
  <c r="N44" i="59"/>
  <c r="L44" i="59"/>
  <c r="F44" i="59"/>
  <c r="B44" i="59"/>
  <c r="Z43" i="59"/>
  <c r="X43" i="59"/>
  <c r="L43" i="59"/>
  <c r="N43" i="59" s="1"/>
  <c r="J43" i="59"/>
  <c r="F43" i="59"/>
  <c r="B43" i="59"/>
  <c r="T42" i="59"/>
  <c r="P42" i="59"/>
  <c r="X42" i="59" s="1"/>
  <c r="Z42" i="59" s="1"/>
  <c r="H42" i="59"/>
  <c r="L42" i="59" s="1"/>
  <c r="N42" i="59" s="1"/>
  <c r="F42" i="59"/>
  <c r="D42" i="59"/>
  <c r="B42" i="59"/>
  <c r="Z41" i="59"/>
  <c r="X41" i="59"/>
  <c r="N41" i="59"/>
  <c r="L41" i="59"/>
  <c r="F41" i="59"/>
  <c r="B41" i="59"/>
  <c r="Z40" i="59"/>
  <c r="T40" i="59"/>
  <c r="X40" i="59" s="1"/>
  <c r="P40" i="59"/>
  <c r="N40" i="59"/>
  <c r="L40" i="59"/>
  <c r="J40" i="59"/>
  <c r="H40" i="59"/>
  <c r="D40" i="59"/>
  <c r="B40" i="59"/>
  <c r="Z39" i="59"/>
  <c r="X39" i="59"/>
  <c r="R39" i="59"/>
  <c r="N39" i="59"/>
  <c r="L39" i="59"/>
  <c r="F39" i="59"/>
  <c r="B39" i="59"/>
  <c r="Z38" i="59"/>
  <c r="X38" i="59"/>
  <c r="N38" i="59"/>
  <c r="L38" i="59"/>
  <c r="B38" i="59"/>
  <c r="Z37" i="59"/>
  <c r="X37" i="59"/>
  <c r="N37" i="59"/>
  <c r="L37" i="59"/>
  <c r="F37" i="59"/>
  <c r="B37" i="59"/>
  <c r="Z36" i="59"/>
  <c r="X36" i="59"/>
  <c r="R36" i="59"/>
  <c r="N36" i="59"/>
  <c r="L36" i="59"/>
  <c r="F36" i="59"/>
  <c r="B36" i="59"/>
  <c r="Z35" i="59"/>
  <c r="X35" i="59"/>
  <c r="N35" i="59"/>
  <c r="L35" i="59"/>
  <c r="J35" i="59"/>
  <c r="F35" i="59"/>
  <c r="B35" i="59"/>
  <c r="Z34" i="59"/>
  <c r="X34" i="59"/>
  <c r="N34" i="59"/>
  <c r="L34" i="59"/>
  <c r="J34" i="59"/>
  <c r="F34" i="59"/>
  <c r="B34" i="59"/>
  <c r="Z33" i="59"/>
  <c r="X33" i="59"/>
  <c r="N33" i="59"/>
  <c r="L33" i="59"/>
  <c r="B33" i="59"/>
  <c r="Z32" i="59"/>
  <c r="X32" i="59"/>
  <c r="R32" i="59"/>
  <c r="N32" i="59"/>
  <c r="L32" i="59"/>
  <c r="F32" i="59"/>
  <c r="B32" i="59"/>
  <c r="X31" i="59"/>
  <c r="Z31" i="59" s="1"/>
  <c r="R31" i="59"/>
  <c r="N31" i="59"/>
  <c r="L31" i="59"/>
  <c r="F31" i="59"/>
  <c r="B31" i="59"/>
  <c r="Z30" i="59"/>
  <c r="X30" i="59"/>
  <c r="N30" i="59"/>
  <c r="L30" i="59"/>
  <c r="B30" i="59"/>
  <c r="X29" i="59"/>
  <c r="Z29" i="59" s="1"/>
  <c r="T29" i="59"/>
  <c r="R29" i="59"/>
  <c r="P29" i="59"/>
  <c r="J29" i="59"/>
  <c r="H29" i="59"/>
  <c r="F29" i="59"/>
  <c r="D29" i="59"/>
  <c r="B29" i="59"/>
  <c r="Z28" i="59"/>
  <c r="X28" i="59"/>
  <c r="R28" i="59"/>
  <c r="N28" i="59"/>
  <c r="L28" i="59"/>
  <c r="F28" i="59"/>
  <c r="B28" i="59"/>
  <c r="X27" i="59"/>
  <c r="Z27" i="59" s="1"/>
  <c r="R27" i="59"/>
  <c r="N27" i="59"/>
  <c r="L27" i="59"/>
  <c r="F27" i="59"/>
  <c r="B27" i="59"/>
  <c r="X26" i="59"/>
  <c r="Z26" i="59" s="1"/>
  <c r="L26" i="59"/>
  <c r="N26" i="59" s="1"/>
  <c r="B26" i="59"/>
  <c r="Z25" i="59"/>
  <c r="X25" i="59"/>
  <c r="N25" i="59"/>
  <c r="L25" i="59"/>
  <c r="F25" i="59"/>
  <c r="B25" i="59"/>
  <c r="Z24" i="59"/>
  <c r="X24" i="59"/>
  <c r="R24" i="59"/>
  <c r="N24" i="59"/>
  <c r="L24" i="59"/>
  <c r="F24" i="59"/>
  <c r="B24" i="59"/>
  <c r="Z23" i="59"/>
  <c r="X23" i="59"/>
  <c r="R23" i="59"/>
  <c r="L23" i="59"/>
  <c r="N23" i="59" s="1"/>
  <c r="J23" i="59"/>
  <c r="F23" i="59"/>
  <c r="B23" i="59"/>
  <c r="X22" i="59"/>
  <c r="Z22" i="59" s="1"/>
  <c r="L22" i="59"/>
  <c r="N22" i="59" s="1"/>
  <c r="J22" i="59"/>
  <c r="F22" i="59"/>
  <c r="B22" i="59"/>
  <c r="Z21" i="59"/>
  <c r="X21" i="59"/>
  <c r="L21" i="59"/>
  <c r="N21" i="59" s="1"/>
  <c r="B21" i="59"/>
  <c r="Z20" i="59"/>
  <c r="X20" i="59"/>
  <c r="R20" i="59"/>
  <c r="N20" i="59"/>
  <c r="L20" i="59"/>
  <c r="F20" i="59"/>
  <c r="B20" i="59"/>
  <c r="V19" i="59"/>
  <c r="T19" i="59"/>
  <c r="P19" i="59"/>
  <c r="H19" i="59"/>
  <c r="F19" i="59"/>
  <c r="D19" i="59"/>
  <c r="L19" i="59" s="1"/>
  <c r="N19" i="59" s="1"/>
  <c r="B19" i="59"/>
  <c r="T18" i="59"/>
  <c r="P18" i="59"/>
  <c r="X18" i="59" s="1"/>
  <c r="H18" i="59"/>
  <c r="L18" i="59" s="1"/>
  <c r="N18" i="59" s="1"/>
  <c r="F18" i="59"/>
  <c r="D18" i="59"/>
  <c r="H16" i="59"/>
  <c r="F16" i="59"/>
  <c r="D16" i="59"/>
  <c r="T14" i="59"/>
  <c r="Z14" i="59" s="1"/>
  <c r="R14" i="59"/>
  <c r="P14" i="59"/>
  <c r="N14" i="59"/>
  <c r="H14" i="59"/>
  <c r="L14" i="59" s="1"/>
  <c r="F14" i="59"/>
  <c r="D14" i="59"/>
  <c r="T12" i="59"/>
  <c r="V55" i="59" s="1"/>
  <c r="P12" i="59"/>
  <c r="R54" i="59" s="1"/>
  <c r="L12" i="59"/>
  <c r="H12" i="59"/>
  <c r="J62" i="59" s="1"/>
  <c r="D12" i="59"/>
  <c r="F64" i="59" s="1"/>
  <c r="D6" i="59"/>
  <c r="D4" i="59"/>
  <c r="J81" i="58"/>
  <c r="R78" i="58"/>
  <c r="Z76" i="58"/>
  <c r="X76" i="58"/>
  <c r="N76" i="58"/>
  <c r="L76" i="58"/>
  <c r="J74" i="58"/>
  <c r="T72" i="58"/>
  <c r="Z72" i="58" s="1"/>
  <c r="R72" i="58"/>
  <c r="P72" i="58"/>
  <c r="H72" i="58"/>
  <c r="N72" i="58" s="1"/>
  <c r="D72" i="58"/>
  <c r="L72" i="58" s="1"/>
  <c r="Z70" i="58"/>
  <c r="X70" i="58"/>
  <c r="N70" i="58"/>
  <c r="L70" i="58"/>
  <c r="B70" i="58"/>
  <c r="T69" i="58"/>
  <c r="P69" i="58"/>
  <c r="X69" i="58" s="1"/>
  <c r="L69" i="58"/>
  <c r="N69" i="58" s="1"/>
  <c r="H69" i="58"/>
  <c r="D69" i="58"/>
  <c r="B69" i="58"/>
  <c r="X68" i="58"/>
  <c r="Z68" i="58" s="1"/>
  <c r="V68" i="58"/>
  <c r="L68" i="58"/>
  <c r="N68" i="58" s="1"/>
  <c r="B68" i="58"/>
  <c r="Z67" i="58"/>
  <c r="X67" i="58"/>
  <c r="T67" i="58"/>
  <c r="P67" i="58"/>
  <c r="J67" i="58"/>
  <c r="H67" i="58"/>
  <c r="D67" i="58"/>
  <c r="B67" i="58"/>
  <c r="Z66" i="58"/>
  <c r="X66" i="58"/>
  <c r="R66" i="58"/>
  <c r="N66" i="58"/>
  <c r="L66" i="58"/>
  <c r="B66" i="58"/>
  <c r="X65" i="58"/>
  <c r="Z65" i="58" s="1"/>
  <c r="V65" i="58"/>
  <c r="R65" i="58"/>
  <c r="N65" i="58"/>
  <c r="L65" i="58"/>
  <c r="B65" i="58"/>
  <c r="X64" i="58"/>
  <c r="Z64" i="58" s="1"/>
  <c r="V64" i="58"/>
  <c r="L64" i="58"/>
  <c r="N64" i="58" s="1"/>
  <c r="B64" i="58"/>
  <c r="Z63" i="58"/>
  <c r="X63" i="58"/>
  <c r="N63" i="58"/>
  <c r="L63" i="58"/>
  <c r="B63" i="58"/>
  <c r="Z62" i="58"/>
  <c r="T62" i="58"/>
  <c r="X62" i="58" s="1"/>
  <c r="P62" i="58"/>
  <c r="L62" i="58"/>
  <c r="N62" i="58" s="1"/>
  <c r="J62" i="58"/>
  <c r="H62" i="58"/>
  <c r="D62" i="58"/>
  <c r="B62" i="58"/>
  <c r="Z61" i="58"/>
  <c r="X61" i="58"/>
  <c r="V61" i="58"/>
  <c r="R61" i="58"/>
  <c r="N61" i="58"/>
  <c r="L61" i="58"/>
  <c r="B61" i="58"/>
  <c r="Z60" i="58"/>
  <c r="X60" i="58"/>
  <c r="V60" i="58"/>
  <c r="T60" i="58"/>
  <c r="P60" i="58"/>
  <c r="H60" i="58"/>
  <c r="N60" i="58" s="1"/>
  <c r="D60" i="58"/>
  <c r="L60" i="58" s="1"/>
  <c r="B60" i="58"/>
  <c r="Z59" i="58"/>
  <c r="X59" i="58"/>
  <c r="N59" i="58"/>
  <c r="L59" i="58"/>
  <c r="B59" i="58"/>
  <c r="Z58" i="58"/>
  <c r="X58" i="58"/>
  <c r="R58" i="58"/>
  <c r="N58" i="58"/>
  <c r="L58" i="58"/>
  <c r="B58" i="58"/>
  <c r="V57" i="58"/>
  <c r="T57" i="58"/>
  <c r="P57" i="58"/>
  <c r="H57" i="58"/>
  <c r="D57" i="58"/>
  <c r="L57" i="58" s="1"/>
  <c r="N57" i="58" s="1"/>
  <c r="B57" i="58"/>
  <c r="X56" i="58"/>
  <c r="Z56" i="58" s="1"/>
  <c r="L56" i="58"/>
  <c r="N56" i="58" s="1"/>
  <c r="J56" i="58"/>
  <c r="B56" i="58"/>
  <c r="Z55" i="58"/>
  <c r="X55" i="58"/>
  <c r="N55" i="58"/>
  <c r="L55" i="58"/>
  <c r="B55" i="58"/>
  <c r="Z54" i="58"/>
  <c r="X54" i="58"/>
  <c r="R54" i="58"/>
  <c r="N54" i="58"/>
  <c r="L54" i="58"/>
  <c r="B54" i="58"/>
  <c r="V53" i="58"/>
  <c r="T53" i="58"/>
  <c r="P53" i="58"/>
  <c r="H53" i="58"/>
  <c r="D53" i="58"/>
  <c r="L53" i="58" s="1"/>
  <c r="N53" i="58" s="1"/>
  <c r="B53" i="58"/>
  <c r="X52" i="58"/>
  <c r="Z52" i="58" s="1"/>
  <c r="L52" i="58"/>
  <c r="N52" i="58" s="1"/>
  <c r="J52" i="58"/>
  <c r="B52" i="58"/>
  <c r="T51" i="58"/>
  <c r="R51" i="58"/>
  <c r="P51" i="58"/>
  <c r="X51" i="58" s="1"/>
  <c r="Z51" i="58" s="1"/>
  <c r="H51" i="58"/>
  <c r="D51" i="58"/>
  <c r="L51" i="58" s="1"/>
  <c r="B51" i="58"/>
  <c r="Z50" i="58"/>
  <c r="X50" i="58"/>
  <c r="N50" i="58"/>
  <c r="L50" i="58"/>
  <c r="F50" i="58"/>
  <c r="B50" i="58"/>
  <c r="V49" i="58"/>
  <c r="T49" i="58"/>
  <c r="Z49" i="58" s="1"/>
  <c r="P49" i="58"/>
  <c r="X49" i="58" s="1"/>
  <c r="N49" i="58"/>
  <c r="L49" i="58"/>
  <c r="H49" i="58"/>
  <c r="D49" i="58"/>
  <c r="B49" i="58"/>
  <c r="Z48" i="58"/>
  <c r="X48" i="58"/>
  <c r="V48" i="58"/>
  <c r="N48" i="58"/>
  <c r="L48" i="58"/>
  <c r="B48" i="58"/>
  <c r="Z47" i="58"/>
  <c r="X47" i="58"/>
  <c r="T47" i="58"/>
  <c r="P47" i="58"/>
  <c r="J47" i="58"/>
  <c r="H47" i="58"/>
  <c r="D47" i="58"/>
  <c r="B47" i="58"/>
  <c r="Z46" i="58"/>
  <c r="X46" i="58"/>
  <c r="R46" i="58"/>
  <c r="N46" i="58"/>
  <c r="L46" i="58"/>
  <c r="B46" i="58"/>
  <c r="V45" i="58"/>
  <c r="T45" i="58"/>
  <c r="P45" i="58"/>
  <c r="H45" i="58"/>
  <c r="D45" i="58"/>
  <c r="L45" i="58" s="1"/>
  <c r="N45" i="58" s="1"/>
  <c r="B45" i="58"/>
  <c r="X44" i="58"/>
  <c r="Z44" i="58" s="1"/>
  <c r="V44" i="58"/>
  <c r="L44" i="58"/>
  <c r="N44" i="58" s="1"/>
  <c r="J44" i="58"/>
  <c r="B44" i="58"/>
  <c r="T43" i="58"/>
  <c r="R43" i="58"/>
  <c r="P43" i="58"/>
  <c r="X43" i="58" s="1"/>
  <c r="Z43" i="58" s="1"/>
  <c r="J43" i="58"/>
  <c r="H43" i="58"/>
  <c r="D43" i="58"/>
  <c r="L43" i="58" s="1"/>
  <c r="B43" i="58"/>
  <c r="Z42" i="58"/>
  <c r="X42" i="58"/>
  <c r="N42" i="58"/>
  <c r="L42" i="58"/>
  <c r="F42" i="58"/>
  <c r="B42" i="58"/>
  <c r="V41" i="58"/>
  <c r="T41" i="58"/>
  <c r="Z41" i="58" s="1"/>
  <c r="P41" i="58"/>
  <c r="X41" i="58" s="1"/>
  <c r="L41" i="58"/>
  <c r="N41" i="58" s="1"/>
  <c r="H41" i="58"/>
  <c r="D41" i="58"/>
  <c r="B41" i="58"/>
  <c r="Z40" i="58"/>
  <c r="X40" i="58"/>
  <c r="V40" i="58"/>
  <c r="N40" i="58"/>
  <c r="L40" i="58"/>
  <c r="B40" i="58"/>
  <c r="Z39" i="58"/>
  <c r="X39" i="58"/>
  <c r="N39" i="58"/>
  <c r="L39" i="58"/>
  <c r="B39" i="58"/>
  <c r="Z38" i="58"/>
  <c r="X38" i="58"/>
  <c r="N38" i="58"/>
  <c r="L38" i="58"/>
  <c r="B38" i="58"/>
  <c r="Z37" i="58"/>
  <c r="X37" i="58"/>
  <c r="V37" i="58"/>
  <c r="N37" i="58"/>
  <c r="L37" i="58"/>
  <c r="J37" i="58"/>
  <c r="B37" i="58"/>
  <c r="Z36" i="58"/>
  <c r="X36" i="58"/>
  <c r="V36" i="58"/>
  <c r="N36" i="58"/>
  <c r="L36" i="58"/>
  <c r="J36" i="58"/>
  <c r="B36" i="58"/>
  <c r="Z35" i="58"/>
  <c r="X35" i="58"/>
  <c r="L35" i="58"/>
  <c r="N35" i="58" s="1"/>
  <c r="B35" i="58"/>
  <c r="Z34" i="58"/>
  <c r="X34" i="58"/>
  <c r="V34" i="58"/>
  <c r="R34" i="58"/>
  <c r="N34" i="58"/>
  <c r="L34" i="58"/>
  <c r="B34" i="58"/>
  <c r="Z33" i="58"/>
  <c r="X33" i="58"/>
  <c r="V33" i="58"/>
  <c r="R33" i="58"/>
  <c r="N33" i="58"/>
  <c r="L33" i="58"/>
  <c r="J33" i="58"/>
  <c r="B33" i="58"/>
  <c r="Z32" i="58"/>
  <c r="X32" i="58"/>
  <c r="V32" i="58"/>
  <c r="N32" i="58"/>
  <c r="L32" i="58"/>
  <c r="B32" i="58"/>
  <c r="X31" i="58"/>
  <c r="Z31" i="58" s="1"/>
  <c r="V31" i="58"/>
  <c r="N31" i="58"/>
  <c r="L31" i="58"/>
  <c r="B31" i="58"/>
  <c r="T30" i="58"/>
  <c r="X30" i="58" s="1"/>
  <c r="Z30" i="58" s="1"/>
  <c r="P30" i="58"/>
  <c r="L30" i="58"/>
  <c r="N30" i="58" s="1"/>
  <c r="J30" i="58"/>
  <c r="H30" i="58"/>
  <c r="D30" i="58"/>
  <c r="B30" i="58"/>
  <c r="X29" i="58"/>
  <c r="Z29" i="58" s="1"/>
  <c r="V29" i="58"/>
  <c r="R29" i="58"/>
  <c r="N29" i="58"/>
  <c r="L29" i="58"/>
  <c r="J29" i="58"/>
  <c r="B29" i="58"/>
  <c r="X28" i="58"/>
  <c r="Z28" i="58" s="1"/>
  <c r="V28" i="58"/>
  <c r="L28" i="58"/>
  <c r="N28" i="58" s="1"/>
  <c r="B28" i="58"/>
  <c r="X27" i="58"/>
  <c r="Z27" i="58" s="1"/>
  <c r="V27" i="58"/>
  <c r="N27" i="58"/>
  <c r="L27" i="58"/>
  <c r="B27" i="58"/>
  <c r="Z26" i="58"/>
  <c r="X26" i="58"/>
  <c r="N26" i="58"/>
  <c r="L26" i="58"/>
  <c r="F26" i="58"/>
  <c r="B26" i="58"/>
  <c r="Z25" i="58"/>
  <c r="X25" i="58"/>
  <c r="V25" i="58"/>
  <c r="L25" i="58"/>
  <c r="N25" i="58" s="1"/>
  <c r="J25" i="58"/>
  <c r="B25" i="58"/>
  <c r="X24" i="58"/>
  <c r="Z24" i="58" s="1"/>
  <c r="V24" i="58"/>
  <c r="L24" i="58"/>
  <c r="N24" i="58" s="1"/>
  <c r="J24" i="58"/>
  <c r="B24" i="58"/>
  <c r="Z23" i="58"/>
  <c r="X23" i="58"/>
  <c r="L23" i="58"/>
  <c r="N23" i="58" s="1"/>
  <c r="B23" i="58"/>
  <c r="Z22" i="58"/>
  <c r="X22" i="58"/>
  <c r="V22" i="58"/>
  <c r="R22" i="58"/>
  <c r="N22" i="58"/>
  <c r="L22" i="58"/>
  <c r="B22" i="58"/>
  <c r="X21" i="58"/>
  <c r="Z21" i="58" s="1"/>
  <c r="V21" i="58"/>
  <c r="R21" i="58"/>
  <c r="N21" i="58"/>
  <c r="L21" i="58"/>
  <c r="J21" i="58"/>
  <c r="B21" i="58"/>
  <c r="X20" i="58"/>
  <c r="Z20" i="58" s="1"/>
  <c r="V20" i="58"/>
  <c r="L20" i="58"/>
  <c r="N20" i="58" s="1"/>
  <c r="J20" i="58"/>
  <c r="B20" i="58"/>
  <c r="X19" i="58"/>
  <c r="Z19" i="58" s="1"/>
  <c r="V19" i="58"/>
  <c r="T19" i="58"/>
  <c r="P19" i="58"/>
  <c r="J19" i="58"/>
  <c r="H19" i="58"/>
  <c r="D19" i="58"/>
  <c r="B19" i="58"/>
  <c r="V18" i="58"/>
  <c r="T18" i="58"/>
  <c r="R18" i="58"/>
  <c r="P18" i="58"/>
  <c r="J18" i="58"/>
  <c r="H18" i="58"/>
  <c r="N18" i="58" s="1"/>
  <c r="D18" i="58"/>
  <c r="L18" i="58" s="1"/>
  <c r="J16" i="58"/>
  <c r="H16" i="58"/>
  <c r="N16" i="58" s="1"/>
  <c r="V14" i="58"/>
  <c r="T14" i="58"/>
  <c r="R14" i="58"/>
  <c r="P14" i="58"/>
  <c r="J14" i="58"/>
  <c r="H14" i="58"/>
  <c r="N14" i="58" s="1"/>
  <c r="D14" i="58"/>
  <c r="L14" i="58" s="1"/>
  <c r="Z12" i="58"/>
  <c r="T12" i="58"/>
  <c r="V81" i="58" s="1"/>
  <c r="P12" i="58"/>
  <c r="R63" i="58" s="1"/>
  <c r="N12" i="58"/>
  <c r="H12" i="58"/>
  <c r="J66" i="58" s="1"/>
  <c r="D12" i="58"/>
  <c r="F76" i="58" s="1"/>
  <c r="D6" i="58"/>
  <c r="D4" i="58"/>
  <c r="V69" i="57"/>
  <c r="Z67" i="57"/>
  <c r="X67" i="57"/>
  <c r="N67" i="57"/>
  <c r="L67" i="57"/>
  <c r="P65" i="57"/>
  <c r="X63" i="57"/>
  <c r="V63" i="57"/>
  <c r="T63" i="57"/>
  <c r="Z63" i="57" s="1"/>
  <c r="P63" i="57"/>
  <c r="H63" i="57"/>
  <c r="N63" i="57" s="1"/>
  <c r="D63" i="57"/>
  <c r="L63" i="57" s="1"/>
  <c r="Z61" i="57"/>
  <c r="X61" i="57"/>
  <c r="N61" i="57"/>
  <c r="L61" i="57"/>
  <c r="J61" i="57"/>
  <c r="B61" i="57"/>
  <c r="Z60" i="57"/>
  <c r="T60" i="57"/>
  <c r="R60" i="57"/>
  <c r="P60" i="57"/>
  <c r="X60" i="57" s="1"/>
  <c r="H60" i="57"/>
  <c r="N60" i="57" s="1"/>
  <c r="D60" i="57"/>
  <c r="L60" i="57" s="1"/>
  <c r="B60" i="57"/>
  <c r="Z59" i="57"/>
  <c r="X59" i="57"/>
  <c r="N59" i="57"/>
  <c r="L59" i="57"/>
  <c r="B59" i="57"/>
  <c r="T58" i="57"/>
  <c r="Z58" i="57" s="1"/>
  <c r="P58" i="57"/>
  <c r="X58" i="57" s="1"/>
  <c r="N58" i="57"/>
  <c r="L58" i="57"/>
  <c r="H58" i="57"/>
  <c r="D58" i="57"/>
  <c r="B58" i="57"/>
  <c r="X57" i="57"/>
  <c r="Z57" i="57" s="1"/>
  <c r="V57" i="57"/>
  <c r="L57" i="57"/>
  <c r="N57" i="57" s="1"/>
  <c r="B57" i="57"/>
  <c r="X56" i="57"/>
  <c r="Z56" i="57" s="1"/>
  <c r="T56" i="57"/>
  <c r="P56" i="57"/>
  <c r="H56" i="57"/>
  <c r="D56" i="57"/>
  <c r="B56" i="57"/>
  <c r="Z55" i="57"/>
  <c r="X55" i="57"/>
  <c r="R55" i="57"/>
  <c r="N55" i="57"/>
  <c r="L55" i="57"/>
  <c r="B55" i="57"/>
  <c r="V54" i="57"/>
  <c r="T54" i="57"/>
  <c r="P54" i="57"/>
  <c r="H54" i="57"/>
  <c r="D54" i="57"/>
  <c r="L54" i="57" s="1"/>
  <c r="N54" i="57" s="1"/>
  <c r="B54" i="57"/>
  <c r="X53" i="57"/>
  <c r="Z53" i="57" s="1"/>
  <c r="L53" i="57"/>
  <c r="N53" i="57" s="1"/>
  <c r="B53" i="57"/>
  <c r="T52" i="57"/>
  <c r="R52" i="57"/>
  <c r="P52" i="57"/>
  <c r="X52" i="57" s="1"/>
  <c r="Z52" i="57" s="1"/>
  <c r="H52" i="57"/>
  <c r="D52" i="57"/>
  <c r="L52" i="57" s="1"/>
  <c r="B52" i="57"/>
  <c r="Z51" i="57"/>
  <c r="X51" i="57"/>
  <c r="N51" i="57"/>
  <c r="L51" i="57"/>
  <c r="B51" i="57"/>
  <c r="Z50" i="57"/>
  <c r="X50" i="57"/>
  <c r="L50" i="57"/>
  <c r="N50" i="57" s="1"/>
  <c r="F50" i="57"/>
  <c r="B50" i="57"/>
  <c r="Z49" i="57"/>
  <c r="X49" i="57"/>
  <c r="N49" i="57"/>
  <c r="L49" i="57"/>
  <c r="B49" i="57"/>
  <c r="T48" i="57"/>
  <c r="R48" i="57"/>
  <c r="P48" i="57"/>
  <c r="X48" i="57" s="1"/>
  <c r="Z48" i="57" s="1"/>
  <c r="H48" i="57"/>
  <c r="D48" i="57"/>
  <c r="L48" i="57" s="1"/>
  <c r="B48" i="57"/>
  <c r="Z47" i="57"/>
  <c r="X47" i="57"/>
  <c r="N47" i="57"/>
  <c r="L47" i="57"/>
  <c r="F47" i="57"/>
  <c r="B47" i="57"/>
  <c r="T46" i="57"/>
  <c r="P46" i="57"/>
  <c r="X46" i="57" s="1"/>
  <c r="L46" i="57"/>
  <c r="N46" i="57" s="1"/>
  <c r="H46" i="57"/>
  <c r="D46" i="57"/>
  <c r="B46" i="57"/>
  <c r="X45" i="57"/>
  <c r="Z45" i="57" s="1"/>
  <c r="V45" i="57"/>
  <c r="L45" i="57"/>
  <c r="N45" i="57" s="1"/>
  <c r="B45" i="57"/>
  <c r="X44" i="57"/>
  <c r="Z44" i="57" s="1"/>
  <c r="T44" i="57"/>
  <c r="P44" i="57"/>
  <c r="H44" i="57"/>
  <c r="D44" i="57"/>
  <c r="B44" i="57"/>
  <c r="Z43" i="57"/>
  <c r="X43" i="57"/>
  <c r="R43" i="57"/>
  <c r="N43" i="57"/>
  <c r="L43" i="57"/>
  <c r="B43" i="57"/>
  <c r="V42" i="57"/>
  <c r="T42" i="57"/>
  <c r="P42" i="57"/>
  <c r="H42" i="57"/>
  <c r="D42" i="57"/>
  <c r="L42" i="57" s="1"/>
  <c r="N42" i="57" s="1"/>
  <c r="B42" i="57"/>
  <c r="X41" i="57"/>
  <c r="Z41" i="57" s="1"/>
  <c r="L41" i="57"/>
  <c r="N41" i="57" s="1"/>
  <c r="B41" i="57"/>
  <c r="T40" i="57"/>
  <c r="R40" i="57"/>
  <c r="P40" i="57"/>
  <c r="X40" i="57" s="1"/>
  <c r="Z40" i="57" s="1"/>
  <c r="H40" i="57"/>
  <c r="D40" i="57"/>
  <c r="L40" i="57" s="1"/>
  <c r="B40" i="57"/>
  <c r="Z39" i="57"/>
  <c r="X39" i="57"/>
  <c r="N39" i="57"/>
  <c r="L39" i="57"/>
  <c r="F39" i="57"/>
  <c r="B39" i="57"/>
  <c r="Z38" i="57"/>
  <c r="X38" i="57"/>
  <c r="N38" i="57"/>
  <c r="L38" i="57"/>
  <c r="B38" i="57"/>
  <c r="Z37" i="57"/>
  <c r="X37" i="57"/>
  <c r="N37" i="57"/>
  <c r="L37" i="57"/>
  <c r="B37" i="57"/>
  <c r="Z36" i="57"/>
  <c r="X36" i="57"/>
  <c r="N36" i="57"/>
  <c r="L36" i="57"/>
  <c r="B36" i="57"/>
  <c r="Z35" i="57"/>
  <c r="X35" i="57"/>
  <c r="R35" i="57"/>
  <c r="N35" i="57"/>
  <c r="L35" i="57"/>
  <c r="B35" i="57"/>
  <c r="Z34" i="57"/>
  <c r="X34" i="57"/>
  <c r="V34" i="57"/>
  <c r="R34" i="57"/>
  <c r="N34" i="57"/>
  <c r="L34" i="57"/>
  <c r="B34" i="57"/>
  <c r="Z33" i="57"/>
  <c r="X33" i="57"/>
  <c r="V33" i="57"/>
  <c r="N33" i="57"/>
  <c r="L33" i="57"/>
  <c r="B33" i="57"/>
  <c r="Z32" i="57"/>
  <c r="X32" i="57"/>
  <c r="N32" i="57"/>
  <c r="L32" i="57"/>
  <c r="B32" i="57"/>
  <c r="Z31" i="57"/>
  <c r="X31" i="57"/>
  <c r="R31" i="57"/>
  <c r="N31" i="57"/>
  <c r="L31" i="57"/>
  <c r="F31" i="57"/>
  <c r="B31" i="57"/>
  <c r="Z30" i="57"/>
  <c r="X30" i="57"/>
  <c r="L30" i="57"/>
  <c r="N30" i="57" s="1"/>
  <c r="B30" i="57"/>
  <c r="T29" i="57"/>
  <c r="P29" i="57"/>
  <c r="X29" i="57" s="1"/>
  <c r="N29" i="57"/>
  <c r="H29" i="57"/>
  <c r="L29" i="57" s="1"/>
  <c r="D29" i="57"/>
  <c r="B29" i="57"/>
  <c r="X28" i="57"/>
  <c r="Z28" i="57" s="1"/>
  <c r="N28" i="57"/>
  <c r="L28" i="57"/>
  <c r="B28" i="57"/>
  <c r="Z27" i="57"/>
  <c r="X27" i="57"/>
  <c r="R27" i="57"/>
  <c r="N27" i="57"/>
  <c r="L27" i="57"/>
  <c r="F27" i="57"/>
  <c r="B27" i="57"/>
  <c r="Z26" i="57"/>
  <c r="X26" i="57"/>
  <c r="L26" i="57"/>
  <c r="N26" i="57" s="1"/>
  <c r="B26" i="57"/>
  <c r="Z25" i="57"/>
  <c r="X25" i="57"/>
  <c r="N25" i="57"/>
  <c r="L25" i="57"/>
  <c r="B25" i="57"/>
  <c r="Z24" i="57"/>
  <c r="X24" i="57"/>
  <c r="L24" i="57"/>
  <c r="N24" i="57" s="1"/>
  <c r="B24" i="57"/>
  <c r="Z23" i="57"/>
  <c r="X23" i="57"/>
  <c r="R23" i="57"/>
  <c r="N23" i="57"/>
  <c r="L23" i="57"/>
  <c r="B23" i="57"/>
  <c r="X22" i="57"/>
  <c r="Z22" i="57" s="1"/>
  <c r="V22" i="57"/>
  <c r="R22" i="57"/>
  <c r="N22" i="57"/>
  <c r="L22" i="57"/>
  <c r="B22" i="57"/>
  <c r="X21" i="57"/>
  <c r="Z21" i="57" s="1"/>
  <c r="V21" i="57"/>
  <c r="L21" i="57"/>
  <c r="N21" i="57" s="1"/>
  <c r="B21" i="57"/>
  <c r="X20" i="57"/>
  <c r="Z20" i="57" s="1"/>
  <c r="N20" i="57"/>
  <c r="L20" i="57"/>
  <c r="B20" i="57"/>
  <c r="T19" i="57"/>
  <c r="X19" i="57" s="1"/>
  <c r="Z19" i="57" s="1"/>
  <c r="P19" i="57"/>
  <c r="L19" i="57"/>
  <c r="N19" i="57" s="1"/>
  <c r="H19" i="57"/>
  <c r="D19" i="57"/>
  <c r="B19" i="57"/>
  <c r="V18" i="57"/>
  <c r="T18" i="57"/>
  <c r="P18" i="57"/>
  <c r="H18" i="57"/>
  <c r="F18" i="57"/>
  <c r="D18" i="57"/>
  <c r="L18" i="57" s="1"/>
  <c r="N18" i="57" s="1"/>
  <c r="P16" i="57"/>
  <c r="V14" i="57"/>
  <c r="T14" i="57"/>
  <c r="P14" i="57"/>
  <c r="N14" i="57"/>
  <c r="H14" i="57"/>
  <c r="D14" i="57"/>
  <c r="L14" i="57" s="1"/>
  <c r="T12" i="57"/>
  <c r="V59" i="57" s="1"/>
  <c r="P12" i="57"/>
  <c r="R69" i="57" s="1"/>
  <c r="H12" i="57"/>
  <c r="D12" i="57"/>
  <c r="D6" i="57"/>
  <c r="D4" i="57"/>
  <c r="R72" i="56"/>
  <c r="J69" i="56"/>
  <c r="Z67" i="56"/>
  <c r="X67" i="56"/>
  <c r="N67" i="56"/>
  <c r="L67" i="56"/>
  <c r="R65" i="56"/>
  <c r="Z63" i="56"/>
  <c r="X63" i="56"/>
  <c r="T63" i="56"/>
  <c r="P63" i="56"/>
  <c r="H63" i="56"/>
  <c r="D63" i="56"/>
  <c r="Z61" i="56"/>
  <c r="X61" i="56"/>
  <c r="L61" i="56"/>
  <c r="N61" i="56" s="1"/>
  <c r="B61" i="56"/>
  <c r="T60" i="56"/>
  <c r="R60" i="56"/>
  <c r="P60" i="56"/>
  <c r="X60" i="56" s="1"/>
  <c r="H60" i="56"/>
  <c r="D60" i="56"/>
  <c r="L60" i="56" s="1"/>
  <c r="N60" i="56" s="1"/>
  <c r="B60" i="56"/>
  <c r="Z59" i="56"/>
  <c r="X59" i="56"/>
  <c r="N59" i="56"/>
  <c r="L59" i="56"/>
  <c r="F59" i="56"/>
  <c r="B59" i="56"/>
  <c r="X58" i="56"/>
  <c r="Z58" i="56" s="1"/>
  <c r="L58" i="56"/>
  <c r="N58" i="56" s="1"/>
  <c r="J58" i="56"/>
  <c r="B58" i="56"/>
  <c r="T57" i="56"/>
  <c r="R57" i="56"/>
  <c r="P57" i="56"/>
  <c r="X57" i="56" s="1"/>
  <c r="Z57" i="56" s="1"/>
  <c r="H57" i="56"/>
  <c r="N57" i="56" s="1"/>
  <c r="D57" i="56"/>
  <c r="L57" i="56" s="1"/>
  <c r="B57" i="56"/>
  <c r="Z56" i="56"/>
  <c r="X56" i="56"/>
  <c r="N56" i="56"/>
  <c r="L56" i="56"/>
  <c r="F56" i="56"/>
  <c r="B56" i="56"/>
  <c r="T55" i="56"/>
  <c r="P55" i="56"/>
  <c r="X55" i="56" s="1"/>
  <c r="N55" i="56"/>
  <c r="L55" i="56"/>
  <c r="H55" i="56"/>
  <c r="D55" i="56"/>
  <c r="B55" i="56"/>
  <c r="Z54" i="56"/>
  <c r="X54" i="56"/>
  <c r="V54" i="56"/>
  <c r="N54" i="56"/>
  <c r="L54" i="56"/>
  <c r="B54" i="56"/>
  <c r="X53" i="56"/>
  <c r="Z53" i="56" s="1"/>
  <c r="N53" i="56"/>
  <c r="L53" i="56"/>
  <c r="B53" i="56"/>
  <c r="Z52" i="56"/>
  <c r="T52" i="56"/>
  <c r="X52" i="56" s="1"/>
  <c r="P52" i="56"/>
  <c r="L52" i="56"/>
  <c r="N52" i="56" s="1"/>
  <c r="J52" i="56"/>
  <c r="H52" i="56"/>
  <c r="D52" i="56"/>
  <c r="B52" i="56"/>
  <c r="X51" i="56"/>
  <c r="Z51" i="56" s="1"/>
  <c r="V51" i="56"/>
  <c r="R51" i="56"/>
  <c r="N51" i="56"/>
  <c r="L51" i="56"/>
  <c r="B51" i="56"/>
  <c r="X50" i="56"/>
  <c r="Z50" i="56" s="1"/>
  <c r="V50" i="56"/>
  <c r="T50" i="56"/>
  <c r="P50" i="56"/>
  <c r="H50" i="56"/>
  <c r="F50" i="56"/>
  <c r="D50" i="56"/>
  <c r="L50" i="56" s="1"/>
  <c r="B50" i="56"/>
  <c r="Z49" i="56"/>
  <c r="X49" i="56"/>
  <c r="N49" i="56"/>
  <c r="L49" i="56"/>
  <c r="B49" i="56"/>
  <c r="T48" i="56"/>
  <c r="R48" i="56"/>
  <c r="P48" i="56"/>
  <c r="X48" i="56" s="1"/>
  <c r="H48" i="56"/>
  <c r="D48" i="56"/>
  <c r="L48" i="56" s="1"/>
  <c r="N48" i="56" s="1"/>
  <c r="B48" i="56"/>
  <c r="Z47" i="56"/>
  <c r="X47" i="56"/>
  <c r="L47" i="56"/>
  <c r="N47" i="56" s="1"/>
  <c r="J47" i="56"/>
  <c r="F47" i="56"/>
  <c r="B47" i="56"/>
  <c r="T46" i="56"/>
  <c r="P46" i="56"/>
  <c r="X46" i="56" s="1"/>
  <c r="Z46" i="56" s="1"/>
  <c r="H46" i="56"/>
  <c r="L46" i="56" s="1"/>
  <c r="N46" i="56" s="1"/>
  <c r="D46" i="56"/>
  <c r="B46" i="56"/>
  <c r="Z45" i="56"/>
  <c r="X45" i="56"/>
  <c r="N45" i="56"/>
  <c r="L45" i="56"/>
  <c r="B45" i="56"/>
  <c r="T44" i="56"/>
  <c r="X44" i="56" s="1"/>
  <c r="Z44" i="56" s="1"/>
  <c r="P44" i="56"/>
  <c r="L44" i="56"/>
  <c r="N44" i="56" s="1"/>
  <c r="H44" i="56"/>
  <c r="D44" i="56"/>
  <c r="B44" i="56"/>
  <c r="X43" i="56"/>
  <c r="Z43" i="56" s="1"/>
  <c r="V43" i="56"/>
  <c r="R43" i="56"/>
  <c r="N43" i="56"/>
  <c r="L43" i="56"/>
  <c r="B43" i="56"/>
  <c r="X42" i="56"/>
  <c r="Z42" i="56" s="1"/>
  <c r="V42" i="56"/>
  <c r="T42" i="56"/>
  <c r="P42" i="56"/>
  <c r="H42" i="56"/>
  <c r="F42" i="56"/>
  <c r="D42" i="56"/>
  <c r="B42" i="56"/>
  <c r="Z41" i="56"/>
  <c r="X41" i="56"/>
  <c r="L41" i="56"/>
  <c r="N41" i="56" s="1"/>
  <c r="B41" i="56"/>
  <c r="T40" i="56"/>
  <c r="R40" i="56"/>
  <c r="P40" i="56"/>
  <c r="H40" i="56"/>
  <c r="N40" i="56" s="1"/>
  <c r="D40" i="56"/>
  <c r="L40" i="56" s="1"/>
  <c r="B40" i="56"/>
  <c r="Z39" i="56"/>
  <c r="X39" i="56"/>
  <c r="V39" i="56"/>
  <c r="N39" i="56"/>
  <c r="L39" i="56"/>
  <c r="J39" i="56"/>
  <c r="F39" i="56"/>
  <c r="B39" i="56"/>
  <c r="Z38" i="56"/>
  <c r="X38" i="56"/>
  <c r="N38" i="56"/>
  <c r="L38" i="56"/>
  <c r="B38" i="56"/>
  <c r="Z37" i="56"/>
  <c r="X37" i="56"/>
  <c r="N37" i="56"/>
  <c r="L37" i="56"/>
  <c r="B37" i="56"/>
  <c r="Z36" i="56"/>
  <c r="X36" i="56"/>
  <c r="R36" i="56"/>
  <c r="N36" i="56"/>
  <c r="L36" i="56"/>
  <c r="B36" i="56"/>
  <c r="Z35" i="56"/>
  <c r="X35" i="56"/>
  <c r="V35" i="56"/>
  <c r="R35" i="56"/>
  <c r="N35" i="56"/>
  <c r="L35" i="56"/>
  <c r="B35" i="56"/>
  <c r="Z34" i="56"/>
  <c r="X34" i="56"/>
  <c r="V34" i="56"/>
  <c r="N34" i="56"/>
  <c r="L34" i="56"/>
  <c r="B34" i="56"/>
  <c r="Z33" i="56"/>
  <c r="X33" i="56"/>
  <c r="N33" i="56"/>
  <c r="L33" i="56"/>
  <c r="B33" i="56"/>
  <c r="Z32" i="56"/>
  <c r="X32" i="56"/>
  <c r="R32" i="56"/>
  <c r="N32" i="56"/>
  <c r="L32" i="56"/>
  <c r="F32" i="56"/>
  <c r="B32" i="56"/>
  <c r="Z31" i="56"/>
  <c r="X31" i="56"/>
  <c r="V31" i="56"/>
  <c r="L31" i="56"/>
  <c r="N31" i="56" s="1"/>
  <c r="F31" i="56"/>
  <c r="B31" i="56"/>
  <c r="X30" i="56"/>
  <c r="Z30" i="56" s="1"/>
  <c r="L30" i="56"/>
  <c r="N30" i="56" s="1"/>
  <c r="B30" i="56"/>
  <c r="T29" i="56"/>
  <c r="R29" i="56"/>
  <c r="P29" i="56"/>
  <c r="X29" i="56" s="1"/>
  <c r="Z29" i="56" s="1"/>
  <c r="H29" i="56"/>
  <c r="D29" i="56"/>
  <c r="L29" i="56" s="1"/>
  <c r="N29" i="56" s="1"/>
  <c r="B29" i="56"/>
  <c r="Z28" i="56"/>
  <c r="X28" i="56"/>
  <c r="R28" i="56"/>
  <c r="N28" i="56"/>
  <c r="L28" i="56"/>
  <c r="F28" i="56"/>
  <c r="B28" i="56"/>
  <c r="Z27" i="56"/>
  <c r="X27" i="56"/>
  <c r="V27" i="56"/>
  <c r="L27" i="56"/>
  <c r="N27" i="56" s="1"/>
  <c r="F27" i="56"/>
  <c r="B27" i="56"/>
  <c r="X26" i="56"/>
  <c r="Z26" i="56" s="1"/>
  <c r="L26" i="56"/>
  <c r="N26" i="56" s="1"/>
  <c r="B26" i="56"/>
  <c r="Z25" i="56"/>
  <c r="X25" i="56"/>
  <c r="R25" i="56"/>
  <c r="N25" i="56"/>
  <c r="L25" i="56"/>
  <c r="B25" i="56"/>
  <c r="Z24" i="56"/>
  <c r="X24" i="56"/>
  <c r="R24" i="56"/>
  <c r="N24" i="56"/>
  <c r="L24" i="56"/>
  <c r="F24" i="56"/>
  <c r="B24" i="56"/>
  <c r="X23" i="56"/>
  <c r="Z23" i="56" s="1"/>
  <c r="V23" i="56"/>
  <c r="R23" i="56"/>
  <c r="N23" i="56"/>
  <c r="L23" i="56"/>
  <c r="B23" i="56"/>
  <c r="X22" i="56"/>
  <c r="Z22" i="56" s="1"/>
  <c r="V22" i="56"/>
  <c r="R22" i="56"/>
  <c r="L22" i="56"/>
  <c r="N22" i="56" s="1"/>
  <c r="B22" i="56"/>
  <c r="Z21" i="56"/>
  <c r="X21" i="56"/>
  <c r="N21" i="56"/>
  <c r="L21" i="56"/>
  <c r="B21" i="56"/>
  <c r="Z20" i="56"/>
  <c r="X20" i="56"/>
  <c r="R20" i="56"/>
  <c r="N20" i="56"/>
  <c r="L20" i="56"/>
  <c r="F20" i="56"/>
  <c r="B20" i="56"/>
  <c r="V19" i="56"/>
  <c r="T19" i="56"/>
  <c r="P19" i="56"/>
  <c r="X19" i="56" s="1"/>
  <c r="Z19" i="56" s="1"/>
  <c r="L19" i="56"/>
  <c r="N19" i="56" s="1"/>
  <c r="H19" i="56"/>
  <c r="F19" i="56"/>
  <c r="D19" i="56"/>
  <c r="B19" i="56"/>
  <c r="X18" i="56"/>
  <c r="Z18" i="56" s="1"/>
  <c r="V18" i="56"/>
  <c r="T18" i="56"/>
  <c r="P18" i="56"/>
  <c r="H18" i="56"/>
  <c r="F18" i="56"/>
  <c r="D18" i="56"/>
  <c r="L18" i="56" s="1"/>
  <c r="R16" i="56"/>
  <c r="P16" i="56"/>
  <c r="X14" i="56"/>
  <c r="V14" i="56"/>
  <c r="T14" i="56"/>
  <c r="Z14" i="56" s="1"/>
  <c r="P14" i="56"/>
  <c r="H14" i="56"/>
  <c r="N14" i="56" s="1"/>
  <c r="F14" i="56"/>
  <c r="D14" i="56"/>
  <c r="L14" i="56" s="1"/>
  <c r="X12" i="56"/>
  <c r="T12" i="56"/>
  <c r="V56" i="56" s="1"/>
  <c r="P12" i="56"/>
  <c r="R53" i="56" s="1"/>
  <c r="H12" i="56"/>
  <c r="J59" i="56" s="1"/>
  <c r="D12" i="56"/>
  <c r="F67" i="56" s="1"/>
  <c r="D6" i="56"/>
  <c r="D4" i="56"/>
  <c r="R38" i="55"/>
  <c r="Z33" i="55"/>
  <c r="X33" i="55"/>
  <c r="R33" i="55"/>
  <c r="N33" i="55"/>
  <c r="L33" i="55"/>
  <c r="R31" i="55"/>
  <c r="Z29" i="55"/>
  <c r="T29" i="55"/>
  <c r="X29" i="55" s="1"/>
  <c r="P29" i="55"/>
  <c r="L29" i="55"/>
  <c r="H29" i="55"/>
  <c r="N29" i="55" s="1"/>
  <c r="D29" i="55"/>
  <c r="Z27" i="55"/>
  <c r="X27" i="55"/>
  <c r="R27" i="55"/>
  <c r="N27" i="55"/>
  <c r="L27" i="55"/>
  <c r="B27" i="55"/>
  <c r="X26" i="55"/>
  <c r="Z26" i="55" s="1"/>
  <c r="V26" i="55"/>
  <c r="R26" i="55"/>
  <c r="N26" i="55"/>
  <c r="L26" i="55"/>
  <c r="B26" i="55"/>
  <c r="V25" i="55"/>
  <c r="T25" i="55"/>
  <c r="P25" i="55"/>
  <c r="X25" i="55" s="1"/>
  <c r="H25" i="55"/>
  <c r="N25" i="55" s="1"/>
  <c r="D25" i="55"/>
  <c r="L25" i="55" s="1"/>
  <c r="B25" i="55"/>
  <c r="Z24" i="55"/>
  <c r="X24" i="55"/>
  <c r="L24" i="55"/>
  <c r="N24" i="55" s="1"/>
  <c r="B24" i="55"/>
  <c r="T23" i="55"/>
  <c r="R23" i="55"/>
  <c r="P23" i="55"/>
  <c r="H23" i="55"/>
  <c r="D23" i="55"/>
  <c r="L23" i="55" s="1"/>
  <c r="N23" i="55" s="1"/>
  <c r="B23" i="55"/>
  <c r="Z22" i="55"/>
  <c r="X22" i="55"/>
  <c r="V22" i="55"/>
  <c r="L22" i="55"/>
  <c r="N22" i="55" s="1"/>
  <c r="F22" i="55"/>
  <c r="B22" i="55"/>
  <c r="X21" i="55"/>
  <c r="T21" i="55"/>
  <c r="P21" i="55"/>
  <c r="N21" i="55"/>
  <c r="H21" i="55"/>
  <c r="L21" i="55" s="1"/>
  <c r="D21" i="55"/>
  <c r="B21" i="55"/>
  <c r="X20" i="55"/>
  <c r="Z20" i="55" s="1"/>
  <c r="N20" i="55"/>
  <c r="L20" i="55"/>
  <c r="B20" i="55"/>
  <c r="T19" i="55"/>
  <c r="X19" i="55" s="1"/>
  <c r="P19" i="55"/>
  <c r="L19" i="55"/>
  <c r="J19" i="55"/>
  <c r="H19" i="55"/>
  <c r="D19" i="55"/>
  <c r="B19" i="55"/>
  <c r="V18" i="55"/>
  <c r="T18" i="55"/>
  <c r="R18" i="55"/>
  <c r="P18" i="55"/>
  <c r="N18" i="55"/>
  <c r="H18" i="55"/>
  <c r="D18" i="55"/>
  <c r="L18" i="55" s="1"/>
  <c r="V16" i="55"/>
  <c r="P16" i="55"/>
  <c r="F16" i="55"/>
  <c r="T14" i="55"/>
  <c r="R14" i="55"/>
  <c r="P14" i="55"/>
  <c r="N14" i="55"/>
  <c r="H14" i="55"/>
  <c r="F14" i="55"/>
  <c r="D14" i="55"/>
  <c r="L14" i="55" s="1"/>
  <c r="T12" i="55"/>
  <c r="P12" i="55"/>
  <c r="R25" i="55" s="1"/>
  <c r="H12" i="55"/>
  <c r="J29" i="55" s="1"/>
  <c r="D12" i="55"/>
  <c r="D6" i="55"/>
  <c r="D4" i="55"/>
  <c r="R31" i="54"/>
  <c r="J31" i="54"/>
  <c r="Z29" i="54"/>
  <c r="X29" i="54"/>
  <c r="T29" i="54"/>
  <c r="R29" i="54"/>
  <c r="P29" i="54"/>
  <c r="J29" i="54"/>
  <c r="H29" i="54"/>
  <c r="D29" i="54"/>
  <c r="Z28" i="54"/>
  <c r="T28" i="54"/>
  <c r="R28" i="54"/>
  <c r="P28" i="54"/>
  <c r="X28" i="54" s="1"/>
  <c r="J28" i="54"/>
  <c r="H28" i="54"/>
  <c r="D28" i="54"/>
  <c r="L28" i="54" s="1"/>
  <c r="N28" i="54" s="1"/>
  <c r="R26" i="54"/>
  <c r="J26" i="54"/>
  <c r="Z24" i="54"/>
  <c r="X24" i="54"/>
  <c r="R24" i="54"/>
  <c r="N24" i="54"/>
  <c r="L24" i="54"/>
  <c r="J24" i="54"/>
  <c r="R22" i="54"/>
  <c r="J22" i="54"/>
  <c r="Z20" i="54"/>
  <c r="X20" i="54"/>
  <c r="T20" i="54"/>
  <c r="R20" i="54"/>
  <c r="P20" i="54"/>
  <c r="J20" i="54"/>
  <c r="H20" i="54"/>
  <c r="F20" i="54"/>
  <c r="D20" i="54"/>
  <c r="Z18" i="54"/>
  <c r="T18" i="54"/>
  <c r="R18" i="54"/>
  <c r="P18" i="54"/>
  <c r="X18" i="54" s="1"/>
  <c r="N18" i="54"/>
  <c r="J18" i="54"/>
  <c r="H18" i="54"/>
  <c r="D18" i="54"/>
  <c r="L18" i="54" s="1"/>
  <c r="R16" i="54"/>
  <c r="J16" i="54"/>
  <c r="H16" i="54"/>
  <c r="F16" i="54"/>
  <c r="Z14" i="54"/>
  <c r="T14" i="54"/>
  <c r="R14" i="54"/>
  <c r="P14" i="54"/>
  <c r="N14" i="54"/>
  <c r="J14" i="54"/>
  <c r="H14" i="54"/>
  <c r="D14" i="54"/>
  <c r="L14" i="54" s="1"/>
  <c r="T12" i="54"/>
  <c r="V16" i="54" s="1"/>
  <c r="P12" i="54"/>
  <c r="N12" i="54"/>
  <c r="H12" i="54"/>
  <c r="D12" i="54"/>
  <c r="F24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P29" i="53"/>
  <c r="H29" i="53"/>
  <c r="N29" i="53" s="1"/>
  <c r="D29" i="53"/>
  <c r="T25" i="53"/>
  <c r="Z25" i="53" s="1"/>
  <c r="P25" i="53"/>
  <c r="H25" i="53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D13" i="53"/>
  <c r="B13" i="53"/>
  <c r="T12" i="53"/>
  <c r="V21" i="53" s="1"/>
  <c r="P12" i="53"/>
  <c r="R27" i="53" s="1"/>
  <c r="H12" i="53"/>
  <c r="D12" i="53"/>
  <c r="F34" i="53" s="1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D33" i="52"/>
  <c r="T29" i="52"/>
  <c r="Z29" i="52" s="1"/>
  <c r="P29" i="52"/>
  <c r="H29" i="52"/>
  <c r="D29" i="52"/>
  <c r="T25" i="52"/>
  <c r="Z25" i="52" s="1"/>
  <c r="P25" i="52"/>
  <c r="H25" i="52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D15" i="52"/>
  <c r="T13" i="52"/>
  <c r="Z13" i="52" s="1"/>
  <c r="P13" i="52"/>
  <c r="H13" i="52"/>
  <c r="N13" i="52" s="1"/>
  <c r="D13" i="52"/>
  <c r="B13" i="52"/>
  <c r="T12" i="52"/>
  <c r="V22" i="52" s="1"/>
  <c r="P12" i="52"/>
  <c r="H12" i="52"/>
  <c r="J20" i="52" s="1"/>
  <c r="D12" i="52"/>
  <c r="F22" i="52" s="1"/>
  <c r="D5" i="52"/>
  <c r="D4" i="52"/>
  <c r="X80" i="51"/>
  <c r="Z80" i="51" s="1"/>
  <c r="V80" i="51"/>
  <c r="L80" i="51"/>
  <c r="N80" i="51" s="1"/>
  <c r="X76" i="51"/>
  <c r="Z76" i="51" s="1"/>
  <c r="P76" i="51"/>
  <c r="L76" i="51"/>
  <c r="N76" i="51" s="1"/>
  <c r="D76" i="51"/>
  <c r="D73" i="51" s="1"/>
  <c r="L73" i="51" s="1"/>
  <c r="B76" i="51"/>
  <c r="Z75" i="51"/>
  <c r="X75" i="51"/>
  <c r="R75" i="51"/>
  <c r="P75" i="51"/>
  <c r="N75" i="51"/>
  <c r="L75" i="51"/>
  <c r="D75" i="51"/>
  <c r="B75" i="51"/>
  <c r="Z74" i="51"/>
  <c r="P74" i="51"/>
  <c r="X74" i="51" s="1"/>
  <c r="N74" i="51"/>
  <c r="L74" i="51"/>
  <c r="D74" i="51"/>
  <c r="B74" i="51"/>
  <c r="T73" i="51"/>
  <c r="P73" i="51"/>
  <c r="X73" i="51" s="1"/>
  <c r="Z73" i="51" s="1"/>
  <c r="H73" i="51"/>
  <c r="X71" i="51"/>
  <c r="Z71" i="51" s="1"/>
  <c r="N71" i="51"/>
  <c r="L71" i="51"/>
  <c r="B71" i="51"/>
  <c r="T70" i="51"/>
  <c r="P70" i="51"/>
  <c r="X70" i="51" s="1"/>
  <c r="Z70" i="51" s="1"/>
  <c r="L70" i="51"/>
  <c r="N70" i="51" s="1"/>
  <c r="J70" i="51"/>
  <c r="H70" i="51"/>
  <c r="D70" i="51"/>
  <c r="B70" i="51"/>
  <c r="X69" i="51"/>
  <c r="Z69" i="51" s="1"/>
  <c r="R69" i="51"/>
  <c r="L69" i="51"/>
  <c r="N69" i="51" s="1"/>
  <c r="B69" i="51"/>
  <c r="X68" i="51"/>
  <c r="Z68" i="51" s="1"/>
  <c r="V68" i="51"/>
  <c r="L68" i="51"/>
  <c r="N68" i="51" s="1"/>
  <c r="B68" i="51"/>
  <c r="X67" i="51"/>
  <c r="Z67" i="51" s="1"/>
  <c r="T67" i="51"/>
  <c r="P67" i="51"/>
  <c r="H67" i="51"/>
  <c r="D67" i="51"/>
  <c r="B67" i="51"/>
  <c r="X66" i="51"/>
  <c r="Z66" i="51" s="1"/>
  <c r="N66" i="51"/>
  <c r="L66" i="51"/>
  <c r="B66" i="51"/>
  <c r="T65" i="51"/>
  <c r="P65" i="51"/>
  <c r="H65" i="51"/>
  <c r="D65" i="51"/>
  <c r="L65" i="51" s="1"/>
  <c r="N65" i="51" s="1"/>
  <c r="B65" i="51"/>
  <c r="X64" i="51"/>
  <c r="Z64" i="51" s="1"/>
  <c r="L64" i="51"/>
  <c r="N64" i="51" s="1"/>
  <c r="J64" i="51"/>
  <c r="B64" i="51"/>
  <c r="T63" i="51"/>
  <c r="P63" i="51"/>
  <c r="X63" i="51" s="1"/>
  <c r="Z63" i="51" s="1"/>
  <c r="H63" i="51"/>
  <c r="N63" i="51" s="1"/>
  <c r="D63" i="51"/>
  <c r="L63" i="51" s="1"/>
  <c r="B63" i="51"/>
  <c r="Z62" i="51"/>
  <c r="X62" i="51"/>
  <c r="L62" i="51"/>
  <c r="N62" i="51" s="1"/>
  <c r="B62" i="51"/>
  <c r="T61" i="51"/>
  <c r="P61" i="51"/>
  <c r="X61" i="51" s="1"/>
  <c r="L61" i="51"/>
  <c r="N61" i="51" s="1"/>
  <c r="H61" i="51"/>
  <c r="D61" i="51"/>
  <c r="B61" i="51"/>
  <c r="X60" i="51"/>
  <c r="Z60" i="51" s="1"/>
  <c r="V60" i="51"/>
  <c r="L60" i="51"/>
  <c r="N60" i="51" s="1"/>
  <c r="B60" i="51"/>
  <c r="X59" i="51"/>
  <c r="Z59" i="51" s="1"/>
  <c r="T59" i="51"/>
  <c r="P59" i="51"/>
  <c r="H59" i="51"/>
  <c r="D59" i="51"/>
  <c r="B59" i="51"/>
  <c r="Z58" i="51"/>
  <c r="X58" i="51"/>
  <c r="N58" i="51"/>
  <c r="L58" i="51"/>
  <c r="B58" i="51"/>
  <c r="T57" i="51"/>
  <c r="P57" i="51"/>
  <c r="N57" i="51"/>
  <c r="H57" i="51"/>
  <c r="D57" i="51"/>
  <c r="L57" i="51" s="1"/>
  <c r="B57" i="51"/>
  <c r="X56" i="51"/>
  <c r="Z56" i="51" s="1"/>
  <c r="L56" i="51"/>
  <c r="N56" i="51" s="1"/>
  <c r="J56" i="51"/>
  <c r="B56" i="51"/>
  <c r="T55" i="51"/>
  <c r="P55" i="51"/>
  <c r="X55" i="51" s="1"/>
  <c r="Z55" i="51" s="1"/>
  <c r="H55" i="51"/>
  <c r="N55" i="51" s="1"/>
  <c r="D55" i="51"/>
  <c r="L55" i="51" s="1"/>
  <c r="B55" i="51"/>
  <c r="Z54" i="51"/>
  <c r="X54" i="51"/>
  <c r="N54" i="51"/>
  <c r="L54" i="51"/>
  <c r="B54" i="51"/>
  <c r="Z53" i="51"/>
  <c r="X53" i="51"/>
  <c r="N53" i="51"/>
  <c r="L53" i="51"/>
  <c r="B53" i="51"/>
  <c r="Z52" i="51"/>
  <c r="X52" i="51"/>
  <c r="N52" i="51"/>
  <c r="L52" i="51"/>
  <c r="J52" i="51"/>
  <c r="B52" i="51"/>
  <c r="Z51" i="51"/>
  <c r="X51" i="51"/>
  <c r="L51" i="51"/>
  <c r="N51" i="51" s="1"/>
  <c r="B51" i="51"/>
  <c r="Z50" i="51"/>
  <c r="X50" i="51"/>
  <c r="N50" i="51"/>
  <c r="L50" i="51"/>
  <c r="B50" i="51"/>
  <c r="Z49" i="51"/>
  <c r="X49" i="51"/>
  <c r="R49" i="51"/>
  <c r="N49" i="51"/>
  <c r="L49" i="51"/>
  <c r="B49" i="51"/>
  <c r="X48" i="51"/>
  <c r="Z48" i="51" s="1"/>
  <c r="V48" i="51"/>
  <c r="L48" i="51"/>
  <c r="N48" i="51" s="1"/>
  <c r="B48" i="51"/>
  <c r="Z47" i="51"/>
  <c r="X47" i="51"/>
  <c r="N47" i="51"/>
  <c r="L47" i="51"/>
  <c r="B47" i="51"/>
  <c r="Z46" i="51"/>
  <c r="X46" i="51"/>
  <c r="N46" i="51"/>
  <c r="L46" i="51"/>
  <c r="B46" i="51"/>
  <c r="Z45" i="51"/>
  <c r="X45" i="51"/>
  <c r="N45" i="51"/>
  <c r="L45" i="51"/>
  <c r="B45" i="51"/>
  <c r="T44" i="51"/>
  <c r="P44" i="51"/>
  <c r="X44" i="51" s="1"/>
  <c r="Z44" i="51" s="1"/>
  <c r="H44" i="51"/>
  <c r="D44" i="51"/>
  <c r="L44" i="51" s="1"/>
  <c r="N44" i="51" s="1"/>
  <c r="B44" i="51"/>
  <c r="X43" i="51"/>
  <c r="Z43" i="51" s="1"/>
  <c r="N43" i="51"/>
  <c r="L43" i="51"/>
  <c r="B43" i="51"/>
  <c r="Z42" i="51"/>
  <c r="X42" i="51"/>
  <c r="L42" i="51"/>
  <c r="N42" i="51" s="1"/>
  <c r="B42" i="51"/>
  <c r="X41" i="51"/>
  <c r="Z41" i="51" s="1"/>
  <c r="L41" i="51"/>
  <c r="N41" i="51" s="1"/>
  <c r="J41" i="51"/>
  <c r="B41" i="51"/>
  <c r="Z40" i="51"/>
  <c r="X40" i="51"/>
  <c r="N40" i="51"/>
  <c r="L40" i="51"/>
  <c r="J40" i="51"/>
  <c r="B40" i="51"/>
  <c r="Z39" i="51"/>
  <c r="X39" i="51"/>
  <c r="N39" i="51"/>
  <c r="L39" i="51"/>
  <c r="B39" i="51"/>
  <c r="X38" i="51"/>
  <c r="Z38" i="51" s="1"/>
  <c r="N38" i="51"/>
  <c r="L38" i="51"/>
  <c r="B38" i="51"/>
  <c r="X37" i="51"/>
  <c r="Z37" i="51" s="1"/>
  <c r="V37" i="51"/>
  <c r="R37" i="51"/>
  <c r="L37" i="51"/>
  <c r="N37" i="51" s="1"/>
  <c r="B37" i="51"/>
  <c r="X36" i="51"/>
  <c r="Z36" i="51" s="1"/>
  <c r="V36" i="51"/>
  <c r="L36" i="51"/>
  <c r="N36" i="51" s="1"/>
  <c r="B36" i="51"/>
  <c r="X35" i="51"/>
  <c r="Z35" i="51" s="1"/>
  <c r="N35" i="51"/>
  <c r="L35" i="51"/>
  <c r="B35" i="51"/>
  <c r="Z34" i="51"/>
  <c r="X34" i="51"/>
  <c r="L34" i="51"/>
  <c r="N34" i="51" s="1"/>
  <c r="B34" i="51"/>
  <c r="T33" i="51"/>
  <c r="P33" i="51"/>
  <c r="X33" i="51" s="1"/>
  <c r="L33" i="51"/>
  <c r="N33" i="51" s="1"/>
  <c r="H33" i="51"/>
  <c r="D33" i="51"/>
  <c r="B33" i="51"/>
  <c r="X32" i="51"/>
  <c r="Z32" i="51" s="1"/>
  <c r="V32" i="51"/>
  <c r="T32" i="51"/>
  <c r="P32" i="51"/>
  <c r="H32" i="51"/>
  <c r="N32" i="51" s="1"/>
  <c r="D32" i="51"/>
  <c r="L32" i="51" s="1"/>
  <c r="P30" i="51"/>
  <c r="P78" i="51" s="1"/>
  <c r="Z28" i="51"/>
  <c r="X28" i="51"/>
  <c r="V28" i="51"/>
  <c r="N28" i="51"/>
  <c r="L28" i="51"/>
  <c r="B28" i="51"/>
  <c r="Z27" i="51"/>
  <c r="X27" i="51"/>
  <c r="N27" i="51"/>
  <c r="L27" i="51"/>
  <c r="B27" i="51"/>
  <c r="Z26" i="51"/>
  <c r="X26" i="51"/>
  <c r="N26" i="51"/>
  <c r="L26" i="51"/>
  <c r="B26" i="51"/>
  <c r="Z25" i="51"/>
  <c r="X25" i="51"/>
  <c r="N25" i="51"/>
  <c r="L25" i="51"/>
  <c r="J25" i="51"/>
  <c r="B25" i="51"/>
  <c r="Z24" i="51"/>
  <c r="X24" i="51"/>
  <c r="N24" i="51"/>
  <c r="L24" i="51"/>
  <c r="J24" i="51"/>
  <c r="B24" i="51"/>
  <c r="Z23" i="51"/>
  <c r="X23" i="51"/>
  <c r="N23" i="51"/>
  <c r="L23" i="51"/>
  <c r="B23" i="51"/>
  <c r="Z22" i="51"/>
  <c r="X22" i="51"/>
  <c r="R22" i="51"/>
  <c r="N22" i="51"/>
  <c r="L22" i="51"/>
  <c r="B22" i="51"/>
  <c r="Z21" i="51"/>
  <c r="X21" i="51"/>
  <c r="V21" i="51"/>
  <c r="R21" i="51"/>
  <c r="N21" i="51"/>
  <c r="L21" i="51"/>
  <c r="B21" i="51"/>
  <c r="Z20" i="51"/>
  <c r="X20" i="51"/>
  <c r="V20" i="51"/>
  <c r="N20" i="51"/>
  <c r="L20" i="51"/>
  <c r="B20" i="51"/>
  <c r="X19" i="51"/>
  <c r="Z19" i="51" s="1"/>
  <c r="L19" i="51"/>
  <c r="N19" i="51" s="1"/>
  <c r="B19" i="51"/>
  <c r="T18" i="51"/>
  <c r="X18" i="51" s="1"/>
  <c r="Z18" i="51" s="1"/>
  <c r="P18" i="51"/>
  <c r="H18" i="51"/>
  <c r="J18" i="51" s="1"/>
  <c r="D18" i="51"/>
  <c r="L18" i="51" s="1"/>
  <c r="N18" i="51" s="1"/>
  <c r="Z16" i="51"/>
  <c r="P16" i="51"/>
  <c r="X16" i="51" s="1"/>
  <c r="N16" i="51"/>
  <c r="L16" i="51"/>
  <c r="D16" i="51"/>
  <c r="B16" i="51"/>
  <c r="Z15" i="51"/>
  <c r="X15" i="51"/>
  <c r="P15" i="51"/>
  <c r="N15" i="51"/>
  <c r="D15" i="51"/>
  <c r="B15" i="51"/>
  <c r="X14" i="51"/>
  <c r="Z14" i="51" s="1"/>
  <c r="P14" i="51"/>
  <c r="D14" i="51"/>
  <c r="L14" i="51" s="1"/>
  <c r="N14" i="51" s="1"/>
  <c r="B14" i="51"/>
  <c r="P13" i="51"/>
  <c r="X13" i="51" s="1"/>
  <c r="Z13" i="51" s="1"/>
  <c r="D13" i="51"/>
  <c r="L13" i="51" s="1"/>
  <c r="N13" i="51" s="1"/>
  <c r="B13" i="51"/>
  <c r="T12" i="51"/>
  <c r="V74" i="51" s="1"/>
  <c r="P12" i="51"/>
  <c r="H12" i="51"/>
  <c r="D4" i="51"/>
  <c r="B39" i="50"/>
  <c r="B38" i="50"/>
  <c r="T34" i="50"/>
  <c r="Z34" i="50" s="1"/>
  <c r="P34" i="50"/>
  <c r="H34" i="50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24" i="50" s="1"/>
  <c r="P12" i="50"/>
  <c r="R20" i="50" s="1"/>
  <c r="H12" i="50"/>
  <c r="J18" i="50" s="1"/>
  <c r="D12" i="50"/>
  <c r="F24" i="50" s="1"/>
  <c r="D5" i="50"/>
  <c r="D4" i="50"/>
  <c r="B39" i="49"/>
  <c r="B38" i="49"/>
  <c r="T34" i="49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D20" i="49"/>
  <c r="T16" i="49"/>
  <c r="Z16" i="49" s="1"/>
  <c r="P16" i="49"/>
  <c r="H16" i="49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V34" i="49" s="1"/>
  <c r="P12" i="49"/>
  <c r="R18" i="49" s="1"/>
  <c r="H12" i="49"/>
  <c r="J21" i="49" s="1"/>
  <c r="D12" i="49"/>
  <c r="D5" i="49"/>
  <c r="D4" i="49"/>
  <c r="Z72" i="48"/>
  <c r="X72" i="48"/>
  <c r="L72" i="48"/>
  <c r="N72" i="48" s="1"/>
  <c r="P70" i="48"/>
  <c r="X68" i="48"/>
  <c r="Z68" i="48" s="1"/>
  <c r="P68" i="48"/>
  <c r="D68" i="48"/>
  <c r="B68" i="48"/>
  <c r="T67" i="48"/>
  <c r="P67" i="48"/>
  <c r="X67" i="48" s="1"/>
  <c r="Z67" i="48" s="1"/>
  <c r="H67" i="48"/>
  <c r="X65" i="48"/>
  <c r="Z65" i="48" s="1"/>
  <c r="V65" i="48"/>
  <c r="L65" i="48"/>
  <c r="N65" i="48" s="1"/>
  <c r="B65" i="48"/>
  <c r="X64" i="48"/>
  <c r="Z64" i="48" s="1"/>
  <c r="T64" i="48"/>
  <c r="P64" i="48"/>
  <c r="H64" i="48"/>
  <c r="D64" i="48"/>
  <c r="B64" i="48"/>
  <c r="Z63" i="48"/>
  <c r="X63" i="48"/>
  <c r="N63" i="48"/>
  <c r="L63" i="48"/>
  <c r="B63" i="48"/>
  <c r="X62" i="48"/>
  <c r="Z62" i="48" s="1"/>
  <c r="R62" i="48"/>
  <c r="N62" i="48"/>
  <c r="L62" i="48"/>
  <c r="B62" i="48"/>
  <c r="X61" i="48"/>
  <c r="V61" i="48"/>
  <c r="T61" i="48"/>
  <c r="Z61" i="48" s="1"/>
  <c r="P61" i="48"/>
  <c r="H61" i="48"/>
  <c r="N61" i="48" s="1"/>
  <c r="D61" i="48"/>
  <c r="L61" i="48" s="1"/>
  <c r="B61" i="48"/>
  <c r="Z60" i="48"/>
  <c r="X60" i="48"/>
  <c r="L60" i="48"/>
  <c r="N60" i="48" s="1"/>
  <c r="B60" i="48"/>
  <c r="T59" i="48"/>
  <c r="Z59" i="48" s="1"/>
  <c r="R59" i="48"/>
  <c r="P59" i="48"/>
  <c r="X59" i="48" s="1"/>
  <c r="H59" i="48"/>
  <c r="D59" i="48"/>
  <c r="L59" i="48" s="1"/>
  <c r="N59" i="48" s="1"/>
  <c r="B59" i="48"/>
  <c r="Z58" i="48"/>
  <c r="X58" i="48"/>
  <c r="N58" i="48"/>
  <c r="L58" i="48"/>
  <c r="B58" i="48"/>
  <c r="X57" i="48"/>
  <c r="Z57" i="48" s="1"/>
  <c r="L57" i="48"/>
  <c r="N57" i="48" s="1"/>
  <c r="J57" i="48"/>
  <c r="B57" i="48"/>
  <c r="Z56" i="48"/>
  <c r="X56" i="48"/>
  <c r="L56" i="48"/>
  <c r="N56" i="48" s="1"/>
  <c r="B56" i="48"/>
  <c r="T55" i="48"/>
  <c r="R55" i="48"/>
  <c r="P55" i="48"/>
  <c r="X55" i="48" s="1"/>
  <c r="H55" i="48"/>
  <c r="D55" i="48"/>
  <c r="L55" i="48" s="1"/>
  <c r="N55" i="48" s="1"/>
  <c r="B55" i="48"/>
  <c r="X54" i="48"/>
  <c r="Z54" i="48" s="1"/>
  <c r="N54" i="48"/>
  <c r="L54" i="48"/>
  <c r="F54" i="48"/>
  <c r="B54" i="48"/>
  <c r="T53" i="48"/>
  <c r="P53" i="48"/>
  <c r="X53" i="48" s="1"/>
  <c r="Z53" i="48" s="1"/>
  <c r="N53" i="48"/>
  <c r="H53" i="48"/>
  <c r="L53" i="48" s="1"/>
  <c r="D53" i="48"/>
  <c r="B53" i="48"/>
  <c r="X52" i="48"/>
  <c r="Z52" i="48" s="1"/>
  <c r="N52" i="48"/>
  <c r="L52" i="48"/>
  <c r="B52" i="48"/>
  <c r="Z51" i="48"/>
  <c r="T51" i="48"/>
  <c r="X51" i="48" s="1"/>
  <c r="P51" i="48"/>
  <c r="L51" i="48"/>
  <c r="J51" i="48"/>
  <c r="H51" i="48"/>
  <c r="N51" i="48" s="1"/>
  <c r="D51" i="48"/>
  <c r="B51" i="48"/>
  <c r="X50" i="48"/>
  <c r="Z50" i="48" s="1"/>
  <c r="V50" i="48"/>
  <c r="R50" i="48"/>
  <c r="N50" i="48"/>
  <c r="L50" i="48"/>
  <c r="B50" i="48"/>
  <c r="X49" i="48"/>
  <c r="V49" i="48"/>
  <c r="T49" i="48"/>
  <c r="Z49" i="48" s="1"/>
  <c r="P49" i="48"/>
  <c r="H49" i="48"/>
  <c r="D49" i="48"/>
  <c r="L49" i="48" s="1"/>
  <c r="B49" i="48"/>
  <c r="Z48" i="48"/>
  <c r="X48" i="48"/>
  <c r="L48" i="48"/>
  <c r="N48" i="48" s="1"/>
  <c r="B48" i="48"/>
  <c r="T47" i="48"/>
  <c r="R47" i="48"/>
  <c r="P47" i="48"/>
  <c r="X47" i="48" s="1"/>
  <c r="H47" i="48"/>
  <c r="D47" i="48"/>
  <c r="L47" i="48" s="1"/>
  <c r="N47" i="48" s="1"/>
  <c r="B47" i="48"/>
  <c r="Z46" i="48"/>
  <c r="X46" i="48"/>
  <c r="N46" i="48"/>
  <c r="L46" i="48"/>
  <c r="J46" i="48"/>
  <c r="B46" i="48"/>
  <c r="T45" i="48"/>
  <c r="P45" i="48"/>
  <c r="X45" i="48" s="1"/>
  <c r="Z45" i="48" s="1"/>
  <c r="N45" i="48"/>
  <c r="H45" i="48"/>
  <c r="L45" i="48" s="1"/>
  <c r="D45" i="48"/>
  <c r="B45" i="48"/>
  <c r="X44" i="48"/>
  <c r="Z44" i="48" s="1"/>
  <c r="N44" i="48"/>
  <c r="L44" i="48"/>
  <c r="B44" i="48"/>
  <c r="Z43" i="48"/>
  <c r="T43" i="48"/>
  <c r="X43" i="48" s="1"/>
  <c r="P43" i="48"/>
  <c r="L43" i="48"/>
  <c r="J43" i="48"/>
  <c r="H43" i="48"/>
  <c r="N43" i="48" s="1"/>
  <c r="D43" i="48"/>
  <c r="B43" i="48"/>
  <c r="Z42" i="48"/>
  <c r="X42" i="48"/>
  <c r="V42" i="48"/>
  <c r="R42" i="48"/>
  <c r="N42" i="48"/>
  <c r="L42" i="48"/>
  <c r="B42" i="48"/>
  <c r="X41" i="48"/>
  <c r="V41" i="48"/>
  <c r="T41" i="48"/>
  <c r="Z41" i="48" s="1"/>
  <c r="P41" i="48"/>
  <c r="H41" i="48"/>
  <c r="N41" i="48" s="1"/>
  <c r="D41" i="48"/>
  <c r="L41" i="48" s="1"/>
  <c r="B41" i="48"/>
  <c r="Z40" i="48"/>
  <c r="X40" i="48"/>
  <c r="N40" i="48"/>
  <c r="L40" i="48"/>
  <c r="B40" i="48"/>
  <c r="Z39" i="48"/>
  <c r="X39" i="48"/>
  <c r="R39" i="48"/>
  <c r="N39" i="48"/>
  <c r="L39" i="48"/>
  <c r="B39" i="48"/>
  <c r="Z38" i="48"/>
  <c r="X38" i="48"/>
  <c r="V38" i="48"/>
  <c r="R38" i="48"/>
  <c r="N38" i="48"/>
  <c r="L38" i="48"/>
  <c r="B38" i="48"/>
  <c r="X37" i="48"/>
  <c r="Z37" i="48" s="1"/>
  <c r="V37" i="48"/>
  <c r="L37" i="48"/>
  <c r="N37" i="48" s="1"/>
  <c r="B37" i="48"/>
  <c r="Z36" i="48"/>
  <c r="X36" i="48"/>
  <c r="N36" i="48"/>
  <c r="L36" i="48"/>
  <c r="B36" i="48"/>
  <c r="Z35" i="48"/>
  <c r="X35" i="48"/>
  <c r="N35" i="48"/>
  <c r="L35" i="48"/>
  <c r="B35" i="48"/>
  <c r="Z34" i="48"/>
  <c r="X34" i="48"/>
  <c r="N34" i="48"/>
  <c r="L34" i="48"/>
  <c r="J34" i="48"/>
  <c r="B34" i="48"/>
  <c r="Z33" i="48"/>
  <c r="X33" i="48"/>
  <c r="N33" i="48"/>
  <c r="L33" i="48"/>
  <c r="J33" i="48"/>
  <c r="B33" i="48"/>
  <c r="Z32" i="48"/>
  <c r="X32" i="48"/>
  <c r="L32" i="48"/>
  <c r="N32" i="48" s="1"/>
  <c r="B32" i="48"/>
  <c r="X31" i="48"/>
  <c r="Z31" i="48" s="1"/>
  <c r="R31" i="48"/>
  <c r="N31" i="48"/>
  <c r="L31" i="48"/>
  <c r="B31" i="48"/>
  <c r="T30" i="48"/>
  <c r="P30" i="48"/>
  <c r="X30" i="48" s="1"/>
  <c r="H30" i="48"/>
  <c r="D30" i="48"/>
  <c r="L30" i="48" s="1"/>
  <c r="N30" i="48" s="1"/>
  <c r="B30" i="48"/>
  <c r="X29" i="48"/>
  <c r="Z29" i="48" s="1"/>
  <c r="L29" i="48"/>
  <c r="N29" i="48" s="1"/>
  <c r="J29" i="48"/>
  <c r="B29" i="48"/>
  <c r="Z28" i="48"/>
  <c r="X28" i="48"/>
  <c r="L28" i="48"/>
  <c r="N28" i="48" s="1"/>
  <c r="B28" i="48"/>
  <c r="Z27" i="48"/>
  <c r="X27" i="48"/>
  <c r="R27" i="48"/>
  <c r="N27" i="48"/>
  <c r="L27" i="48"/>
  <c r="B27" i="48"/>
  <c r="Z26" i="48"/>
  <c r="X26" i="48"/>
  <c r="V26" i="48"/>
  <c r="R26" i="48"/>
  <c r="N26" i="48"/>
  <c r="L26" i="48"/>
  <c r="B26" i="48"/>
  <c r="X25" i="48"/>
  <c r="Z25" i="48" s="1"/>
  <c r="V25" i="48"/>
  <c r="L25" i="48"/>
  <c r="N25" i="48" s="1"/>
  <c r="B25" i="48"/>
  <c r="X24" i="48"/>
  <c r="Z24" i="48" s="1"/>
  <c r="N24" i="48"/>
  <c r="L24" i="48"/>
  <c r="B24" i="48"/>
  <c r="Z23" i="48"/>
  <c r="X23" i="48"/>
  <c r="N23" i="48"/>
  <c r="L23" i="48"/>
  <c r="B23" i="48"/>
  <c r="Z22" i="48"/>
  <c r="X22" i="48"/>
  <c r="L22" i="48"/>
  <c r="N22" i="48" s="1"/>
  <c r="J22" i="48"/>
  <c r="B22" i="48"/>
  <c r="X21" i="48"/>
  <c r="Z21" i="48" s="1"/>
  <c r="L21" i="48"/>
  <c r="N21" i="48" s="1"/>
  <c r="J21" i="48"/>
  <c r="B21" i="48"/>
  <c r="T20" i="48"/>
  <c r="P20" i="48"/>
  <c r="H20" i="48"/>
  <c r="D20" i="48"/>
  <c r="L20" i="48" s="1"/>
  <c r="N20" i="48" s="1"/>
  <c r="B20" i="48"/>
  <c r="Z19" i="48"/>
  <c r="T19" i="48"/>
  <c r="P19" i="48"/>
  <c r="X19" i="48" s="1"/>
  <c r="L19" i="48"/>
  <c r="J19" i="48"/>
  <c r="H19" i="48"/>
  <c r="N19" i="48" s="1"/>
  <c r="D19" i="48"/>
  <c r="T17" i="48"/>
  <c r="Z17" i="48" s="1"/>
  <c r="R17" i="48"/>
  <c r="P17" i="48"/>
  <c r="X17" i="48" s="1"/>
  <c r="Z15" i="48"/>
  <c r="T15" i="48"/>
  <c r="X15" i="48" s="1"/>
  <c r="P15" i="48"/>
  <c r="L15" i="48"/>
  <c r="J15" i="48"/>
  <c r="H15" i="48"/>
  <c r="N15" i="48" s="1"/>
  <c r="D15" i="48"/>
  <c r="X13" i="48"/>
  <c r="Z13" i="48" s="1"/>
  <c r="P13" i="48"/>
  <c r="L13" i="48"/>
  <c r="N13" i="48" s="1"/>
  <c r="D13" i="48"/>
  <c r="D12" i="48" s="1"/>
  <c r="F58" i="48" s="1"/>
  <c r="B13" i="48"/>
  <c r="T12" i="48"/>
  <c r="V51" i="48" s="1"/>
  <c r="P12" i="48"/>
  <c r="R68" i="48" s="1"/>
  <c r="L12" i="48"/>
  <c r="N12" i="48" s="1"/>
  <c r="H12" i="48"/>
  <c r="J67" i="48" s="1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D13" i="47"/>
  <c r="B13" i="47"/>
  <c r="T12" i="47"/>
  <c r="V34" i="47" s="1"/>
  <c r="P12" i="47"/>
  <c r="R36" i="47" s="1"/>
  <c r="H12" i="47"/>
  <c r="J34" i="47" s="1"/>
  <c r="D12" i="47"/>
  <c r="F34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D15" i="46"/>
  <c r="T13" i="46"/>
  <c r="Z13" i="46" s="1"/>
  <c r="P13" i="46"/>
  <c r="H13" i="46"/>
  <c r="N13" i="46" s="1"/>
  <c r="D13" i="46"/>
  <c r="B13" i="46"/>
  <c r="T12" i="46"/>
  <c r="V22" i="46" s="1"/>
  <c r="P12" i="46"/>
  <c r="R18" i="46" s="1"/>
  <c r="H12" i="46"/>
  <c r="J20" i="46" s="1"/>
  <c r="D12" i="46"/>
  <c r="F22" i="46" s="1"/>
  <c r="D5" i="46"/>
  <c r="D4" i="46"/>
  <c r="X97" i="45"/>
  <c r="Z97" i="45" s="1"/>
  <c r="V97" i="45"/>
  <c r="L97" i="45"/>
  <c r="N97" i="45" s="1"/>
  <c r="T93" i="45"/>
  <c r="Z93" i="45" s="1"/>
  <c r="P93" i="45"/>
  <c r="X93" i="45" s="1"/>
  <c r="N93" i="45"/>
  <c r="H93" i="45"/>
  <c r="D93" i="45"/>
  <c r="L93" i="45" s="1"/>
  <c r="Z91" i="45"/>
  <c r="X91" i="45"/>
  <c r="V91" i="45"/>
  <c r="N91" i="45"/>
  <c r="L91" i="45"/>
  <c r="B91" i="45"/>
  <c r="Z90" i="45"/>
  <c r="X90" i="45"/>
  <c r="T90" i="45"/>
  <c r="P90" i="45"/>
  <c r="H90" i="45"/>
  <c r="D90" i="45"/>
  <c r="B90" i="45"/>
  <c r="X89" i="45"/>
  <c r="Z89" i="45" s="1"/>
  <c r="N89" i="45"/>
  <c r="L89" i="45"/>
  <c r="B89" i="45"/>
  <c r="T88" i="45"/>
  <c r="P88" i="45"/>
  <c r="H88" i="45"/>
  <c r="D88" i="45"/>
  <c r="L88" i="45" s="1"/>
  <c r="N88" i="45" s="1"/>
  <c r="B88" i="45"/>
  <c r="X87" i="45"/>
  <c r="Z87" i="45" s="1"/>
  <c r="L87" i="45"/>
  <c r="N87" i="45" s="1"/>
  <c r="J87" i="45"/>
  <c r="B87" i="45"/>
  <c r="Z86" i="45"/>
  <c r="X86" i="45"/>
  <c r="L86" i="45"/>
  <c r="N86" i="45" s="1"/>
  <c r="B86" i="45"/>
  <c r="T85" i="45"/>
  <c r="P85" i="45"/>
  <c r="X85" i="45" s="1"/>
  <c r="H85" i="45"/>
  <c r="D85" i="45"/>
  <c r="L85" i="45" s="1"/>
  <c r="N85" i="45" s="1"/>
  <c r="B85" i="45"/>
  <c r="X84" i="45"/>
  <c r="Z84" i="45" s="1"/>
  <c r="L84" i="45"/>
  <c r="N84" i="45" s="1"/>
  <c r="B84" i="45"/>
  <c r="X83" i="45"/>
  <c r="Z83" i="45" s="1"/>
  <c r="L83" i="45"/>
  <c r="N83" i="45" s="1"/>
  <c r="J83" i="45"/>
  <c r="B83" i="45"/>
  <c r="Z82" i="45"/>
  <c r="X82" i="45"/>
  <c r="L82" i="45"/>
  <c r="N82" i="45" s="1"/>
  <c r="B82" i="45"/>
  <c r="X81" i="45"/>
  <c r="Z81" i="45" s="1"/>
  <c r="N81" i="45"/>
  <c r="L81" i="45"/>
  <c r="B81" i="45"/>
  <c r="X80" i="45"/>
  <c r="Z80" i="45" s="1"/>
  <c r="L80" i="45"/>
  <c r="N80" i="45" s="1"/>
  <c r="B80" i="45"/>
  <c r="X79" i="45"/>
  <c r="Z79" i="45" s="1"/>
  <c r="V79" i="45"/>
  <c r="L79" i="45"/>
  <c r="N79" i="45" s="1"/>
  <c r="B79" i="45"/>
  <c r="X78" i="45"/>
  <c r="Z78" i="45" s="1"/>
  <c r="N78" i="45"/>
  <c r="L78" i="45"/>
  <c r="B78" i="45"/>
  <c r="Z77" i="45"/>
  <c r="T77" i="45"/>
  <c r="P77" i="45"/>
  <c r="X77" i="45" s="1"/>
  <c r="L77" i="45"/>
  <c r="N77" i="45" s="1"/>
  <c r="J77" i="45"/>
  <c r="H77" i="45"/>
  <c r="D77" i="45"/>
  <c r="B77" i="45"/>
  <c r="X76" i="45"/>
  <c r="Z76" i="45" s="1"/>
  <c r="L76" i="45"/>
  <c r="N76" i="45" s="1"/>
  <c r="B76" i="45"/>
  <c r="X75" i="45"/>
  <c r="Z75" i="45" s="1"/>
  <c r="V75" i="45"/>
  <c r="L75" i="45"/>
  <c r="N75" i="45" s="1"/>
  <c r="B75" i="45"/>
  <c r="X74" i="45"/>
  <c r="Z74" i="45" s="1"/>
  <c r="N74" i="45"/>
  <c r="L74" i="45"/>
  <c r="B74" i="45"/>
  <c r="Z73" i="45"/>
  <c r="X73" i="45"/>
  <c r="L73" i="45"/>
  <c r="N73" i="45" s="1"/>
  <c r="B73" i="45"/>
  <c r="T72" i="45"/>
  <c r="Z72" i="45" s="1"/>
  <c r="P72" i="45"/>
  <c r="X72" i="45" s="1"/>
  <c r="L72" i="45"/>
  <c r="N72" i="45" s="1"/>
  <c r="H72" i="45"/>
  <c r="D72" i="45"/>
  <c r="B72" i="45"/>
  <c r="X71" i="45"/>
  <c r="Z71" i="45" s="1"/>
  <c r="V71" i="45"/>
  <c r="L71" i="45"/>
  <c r="N71" i="45" s="1"/>
  <c r="B71" i="45"/>
  <c r="X70" i="45"/>
  <c r="Z70" i="45" s="1"/>
  <c r="N70" i="45"/>
  <c r="L70" i="45"/>
  <c r="B70" i="45"/>
  <c r="Z69" i="45"/>
  <c r="X69" i="45"/>
  <c r="L69" i="45"/>
  <c r="N69" i="45" s="1"/>
  <c r="B69" i="45"/>
  <c r="T68" i="45"/>
  <c r="Z68" i="45" s="1"/>
  <c r="P68" i="45"/>
  <c r="X68" i="45" s="1"/>
  <c r="L68" i="45"/>
  <c r="N68" i="45" s="1"/>
  <c r="H68" i="45"/>
  <c r="D68" i="45"/>
  <c r="B68" i="45"/>
  <c r="X67" i="45"/>
  <c r="Z67" i="45" s="1"/>
  <c r="V67" i="45"/>
  <c r="L67" i="45"/>
  <c r="N67" i="45" s="1"/>
  <c r="B67" i="45"/>
  <c r="X66" i="45"/>
  <c r="Z66" i="45" s="1"/>
  <c r="T66" i="45"/>
  <c r="P66" i="45"/>
  <c r="H66" i="45"/>
  <c r="D66" i="45"/>
  <c r="B66" i="45"/>
  <c r="X65" i="45"/>
  <c r="Z65" i="45" s="1"/>
  <c r="N65" i="45"/>
  <c r="L65" i="45"/>
  <c r="B65" i="45"/>
  <c r="T64" i="45"/>
  <c r="P64" i="45"/>
  <c r="H64" i="45"/>
  <c r="D64" i="45"/>
  <c r="L64" i="45" s="1"/>
  <c r="N64" i="45" s="1"/>
  <c r="B64" i="45"/>
  <c r="X63" i="45"/>
  <c r="Z63" i="45" s="1"/>
  <c r="L63" i="45"/>
  <c r="N63" i="45" s="1"/>
  <c r="J63" i="45"/>
  <c r="B63" i="45"/>
  <c r="T62" i="45"/>
  <c r="P62" i="45"/>
  <c r="X62" i="45" s="1"/>
  <c r="Z62" i="45" s="1"/>
  <c r="H62" i="45"/>
  <c r="D62" i="45"/>
  <c r="L62" i="45" s="1"/>
  <c r="B62" i="45"/>
  <c r="Z61" i="45"/>
  <c r="X61" i="45"/>
  <c r="N61" i="45"/>
  <c r="L61" i="45"/>
  <c r="B61" i="45"/>
  <c r="T60" i="45"/>
  <c r="P60" i="45"/>
  <c r="X60" i="45" s="1"/>
  <c r="L60" i="45"/>
  <c r="N60" i="45" s="1"/>
  <c r="H60" i="45"/>
  <c r="D60" i="45"/>
  <c r="B60" i="45"/>
  <c r="X59" i="45"/>
  <c r="Z59" i="45" s="1"/>
  <c r="V59" i="45"/>
  <c r="L59" i="45"/>
  <c r="N59" i="45" s="1"/>
  <c r="B59" i="45"/>
  <c r="X58" i="45"/>
  <c r="Z58" i="45" s="1"/>
  <c r="T58" i="45"/>
  <c r="P58" i="45"/>
  <c r="H58" i="45"/>
  <c r="D58" i="45"/>
  <c r="B58" i="45"/>
  <c r="Z57" i="45"/>
  <c r="X57" i="45"/>
  <c r="N57" i="45"/>
  <c r="L57" i="45"/>
  <c r="B57" i="45"/>
  <c r="T56" i="45"/>
  <c r="P56" i="45"/>
  <c r="H56" i="45"/>
  <c r="N56" i="45" s="1"/>
  <c r="D56" i="45"/>
  <c r="L56" i="45" s="1"/>
  <c r="B56" i="45"/>
  <c r="X55" i="45"/>
  <c r="Z55" i="45" s="1"/>
  <c r="L55" i="45"/>
  <c r="N55" i="45" s="1"/>
  <c r="J55" i="45"/>
  <c r="B55" i="45"/>
  <c r="T54" i="45"/>
  <c r="Z54" i="45" s="1"/>
  <c r="P54" i="45"/>
  <c r="X54" i="45" s="1"/>
  <c r="H54" i="45"/>
  <c r="D54" i="45"/>
  <c r="L54" i="45" s="1"/>
  <c r="B54" i="45"/>
  <c r="Z53" i="45"/>
  <c r="X53" i="45"/>
  <c r="N53" i="45"/>
  <c r="L53" i="45"/>
  <c r="B53" i="45"/>
  <c r="T52" i="45"/>
  <c r="P52" i="45"/>
  <c r="X52" i="45" s="1"/>
  <c r="L52" i="45"/>
  <c r="N52" i="45" s="1"/>
  <c r="H52" i="45"/>
  <c r="D52" i="45"/>
  <c r="B52" i="45"/>
  <c r="X51" i="45"/>
  <c r="Z51" i="45" s="1"/>
  <c r="V51" i="45"/>
  <c r="L51" i="45"/>
  <c r="N51" i="45" s="1"/>
  <c r="B51" i="45"/>
  <c r="X50" i="45"/>
  <c r="Z50" i="45" s="1"/>
  <c r="T50" i="45"/>
  <c r="P50" i="45"/>
  <c r="H50" i="45"/>
  <c r="D50" i="45"/>
  <c r="B50" i="45"/>
  <c r="Z49" i="45"/>
  <c r="X49" i="45"/>
  <c r="N49" i="45"/>
  <c r="L49" i="45"/>
  <c r="B49" i="45"/>
  <c r="T48" i="45"/>
  <c r="P48" i="45"/>
  <c r="H48" i="45"/>
  <c r="N48" i="45" s="1"/>
  <c r="D48" i="45"/>
  <c r="L48" i="45" s="1"/>
  <c r="B48" i="45"/>
  <c r="Z47" i="45"/>
  <c r="X47" i="45"/>
  <c r="N47" i="45"/>
  <c r="L47" i="45"/>
  <c r="J47" i="45"/>
  <c r="B47" i="45"/>
  <c r="Z46" i="45"/>
  <c r="X46" i="45"/>
  <c r="N46" i="45"/>
  <c r="L46" i="45"/>
  <c r="B46" i="45"/>
  <c r="Z45" i="45"/>
  <c r="X45" i="45"/>
  <c r="N45" i="45"/>
  <c r="L45" i="45"/>
  <c r="B45" i="45"/>
  <c r="X44" i="45"/>
  <c r="Z44" i="45" s="1"/>
  <c r="V44" i="45"/>
  <c r="L44" i="45"/>
  <c r="N44" i="45" s="1"/>
  <c r="B44" i="45"/>
  <c r="Z43" i="45"/>
  <c r="X43" i="45"/>
  <c r="V43" i="45"/>
  <c r="N43" i="45"/>
  <c r="L43" i="45"/>
  <c r="B43" i="45"/>
  <c r="X42" i="45"/>
  <c r="Z42" i="45" s="1"/>
  <c r="N42" i="45"/>
  <c r="L42" i="45"/>
  <c r="B42" i="45"/>
  <c r="Z41" i="45"/>
  <c r="X41" i="45"/>
  <c r="N41" i="45"/>
  <c r="L41" i="45"/>
  <c r="B41" i="45"/>
  <c r="Z40" i="45"/>
  <c r="X40" i="45"/>
  <c r="N40" i="45"/>
  <c r="L40" i="45"/>
  <c r="J40" i="45"/>
  <c r="B40" i="45"/>
  <c r="X39" i="45"/>
  <c r="Z39" i="45" s="1"/>
  <c r="L39" i="45"/>
  <c r="N39" i="45" s="1"/>
  <c r="J39" i="45"/>
  <c r="B39" i="45"/>
  <c r="Z38" i="45"/>
  <c r="X38" i="45"/>
  <c r="N38" i="45"/>
  <c r="L38" i="45"/>
  <c r="B38" i="45"/>
  <c r="T37" i="45"/>
  <c r="P37" i="45"/>
  <c r="H37" i="45"/>
  <c r="D37" i="45"/>
  <c r="L37" i="45" s="1"/>
  <c r="N37" i="45" s="1"/>
  <c r="B37" i="45"/>
  <c r="X36" i="45"/>
  <c r="Z36" i="45" s="1"/>
  <c r="L36" i="45"/>
  <c r="N36" i="45" s="1"/>
  <c r="J36" i="45"/>
  <c r="B36" i="45"/>
  <c r="X35" i="45"/>
  <c r="Z35" i="45" s="1"/>
  <c r="L35" i="45"/>
  <c r="N35" i="45" s="1"/>
  <c r="J35" i="45"/>
  <c r="B35" i="45"/>
  <c r="Z34" i="45"/>
  <c r="X34" i="45"/>
  <c r="L34" i="45"/>
  <c r="N34" i="45" s="1"/>
  <c r="B34" i="45"/>
  <c r="Z33" i="45"/>
  <c r="X33" i="45"/>
  <c r="N33" i="45"/>
  <c r="L33" i="45"/>
  <c r="B33" i="45"/>
  <c r="Z32" i="45"/>
  <c r="X32" i="45"/>
  <c r="V32" i="45"/>
  <c r="N32" i="45"/>
  <c r="L32" i="45"/>
  <c r="B32" i="45"/>
  <c r="X31" i="45"/>
  <c r="Z31" i="45" s="1"/>
  <c r="V31" i="45"/>
  <c r="L31" i="45"/>
  <c r="N31" i="45" s="1"/>
  <c r="B31" i="45"/>
  <c r="X30" i="45"/>
  <c r="Z30" i="45" s="1"/>
  <c r="N30" i="45"/>
  <c r="L30" i="45"/>
  <c r="B30" i="45"/>
  <c r="Z29" i="45"/>
  <c r="X29" i="45"/>
  <c r="N29" i="45"/>
  <c r="L29" i="45"/>
  <c r="B29" i="45"/>
  <c r="X28" i="45"/>
  <c r="Z28" i="45" s="1"/>
  <c r="L28" i="45"/>
  <c r="N28" i="45" s="1"/>
  <c r="J28" i="45"/>
  <c r="B28" i="45"/>
  <c r="X27" i="45"/>
  <c r="Z27" i="45" s="1"/>
  <c r="L27" i="45"/>
  <c r="N27" i="45" s="1"/>
  <c r="J27" i="45"/>
  <c r="B27" i="45"/>
  <c r="T26" i="45"/>
  <c r="Z26" i="45" s="1"/>
  <c r="P26" i="45"/>
  <c r="X26" i="45" s="1"/>
  <c r="H26" i="45"/>
  <c r="D26" i="45"/>
  <c r="L26" i="45" s="1"/>
  <c r="B26" i="45"/>
  <c r="T25" i="45"/>
  <c r="P25" i="45"/>
  <c r="X25" i="45" s="1"/>
  <c r="Z25" i="45" s="1"/>
  <c r="L25" i="45"/>
  <c r="N25" i="45" s="1"/>
  <c r="J25" i="45"/>
  <c r="H25" i="45"/>
  <c r="D25" i="45"/>
  <c r="T23" i="45"/>
  <c r="Z21" i="45"/>
  <c r="X21" i="45"/>
  <c r="N21" i="45"/>
  <c r="L21" i="45"/>
  <c r="B21" i="45"/>
  <c r="Z20" i="45"/>
  <c r="X20" i="45"/>
  <c r="V20" i="45"/>
  <c r="N20" i="45"/>
  <c r="L20" i="45"/>
  <c r="J20" i="45"/>
  <c r="B20" i="45"/>
  <c r="X19" i="45"/>
  <c r="Z19" i="45" s="1"/>
  <c r="L19" i="45"/>
  <c r="N19" i="45" s="1"/>
  <c r="J19" i="45"/>
  <c r="B19" i="45"/>
  <c r="T18" i="45"/>
  <c r="P18" i="45"/>
  <c r="X18" i="45" s="1"/>
  <c r="Z18" i="45" s="1"/>
  <c r="J18" i="45"/>
  <c r="H18" i="45"/>
  <c r="D18" i="45"/>
  <c r="L18" i="45" s="1"/>
  <c r="N18" i="45" s="1"/>
  <c r="Z16" i="45"/>
  <c r="X16" i="45"/>
  <c r="P16" i="45"/>
  <c r="N16" i="45"/>
  <c r="L16" i="45"/>
  <c r="D16" i="45"/>
  <c r="B16" i="45"/>
  <c r="Z15" i="45"/>
  <c r="P15" i="45"/>
  <c r="X15" i="45" s="1"/>
  <c r="N15" i="45"/>
  <c r="D15" i="45"/>
  <c r="L15" i="45" s="1"/>
  <c r="B15" i="45"/>
  <c r="P14" i="45"/>
  <c r="X14" i="45" s="1"/>
  <c r="Z14" i="45" s="1"/>
  <c r="N14" i="45"/>
  <c r="L14" i="45"/>
  <c r="D14" i="45"/>
  <c r="B14" i="45"/>
  <c r="Z13" i="45"/>
  <c r="X13" i="45"/>
  <c r="P13" i="45"/>
  <c r="N13" i="45"/>
  <c r="L13" i="45"/>
  <c r="D13" i="45"/>
  <c r="B13" i="45"/>
  <c r="T12" i="45"/>
  <c r="V77" i="45" s="1"/>
  <c r="H12" i="45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D13" i="44"/>
  <c r="B13" i="44"/>
  <c r="T12" i="44"/>
  <c r="V34" i="44" s="1"/>
  <c r="P12" i="44"/>
  <c r="R36" i="44" s="1"/>
  <c r="H12" i="44"/>
  <c r="J34" i="44" s="1"/>
  <c r="D12" i="44"/>
  <c r="F34" i="44" s="1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D15" i="43"/>
  <c r="T13" i="43"/>
  <c r="Z13" i="43" s="1"/>
  <c r="P13" i="43"/>
  <c r="H13" i="43"/>
  <c r="N13" i="43" s="1"/>
  <c r="D13" i="43"/>
  <c r="B13" i="43"/>
  <c r="T12" i="43"/>
  <c r="P12" i="43"/>
  <c r="R24" i="43" s="1"/>
  <c r="H12" i="43"/>
  <c r="N12" i="43" s="1"/>
  <c r="D12" i="43"/>
  <c r="D5" i="43"/>
  <c r="D4" i="43"/>
  <c r="X105" i="42"/>
  <c r="Z105" i="42" s="1"/>
  <c r="L105" i="42"/>
  <c r="N105" i="42" s="1"/>
  <c r="Z101" i="42"/>
  <c r="X101" i="42"/>
  <c r="P101" i="42"/>
  <c r="N101" i="42"/>
  <c r="L101" i="42"/>
  <c r="D101" i="42"/>
  <c r="D98" i="42" s="1"/>
  <c r="L98" i="42" s="1"/>
  <c r="B101" i="42"/>
  <c r="Z100" i="42"/>
  <c r="X100" i="42"/>
  <c r="P100" i="42"/>
  <c r="N100" i="42"/>
  <c r="L100" i="42"/>
  <c r="D100" i="42"/>
  <c r="B100" i="42"/>
  <c r="Z99" i="42"/>
  <c r="P99" i="42"/>
  <c r="X99" i="42" s="1"/>
  <c r="N99" i="42"/>
  <c r="L99" i="42"/>
  <c r="D99" i="42"/>
  <c r="B99" i="42"/>
  <c r="Z98" i="42"/>
  <c r="T98" i="42"/>
  <c r="P98" i="42"/>
  <c r="X98" i="42" s="1"/>
  <c r="H98" i="42"/>
  <c r="N98" i="42" s="1"/>
  <c r="X96" i="42"/>
  <c r="Z96" i="42" s="1"/>
  <c r="N96" i="42"/>
  <c r="L96" i="42"/>
  <c r="B96" i="42"/>
  <c r="T95" i="42"/>
  <c r="P95" i="42"/>
  <c r="X95" i="42" s="1"/>
  <c r="Z95" i="42" s="1"/>
  <c r="L95" i="42"/>
  <c r="N95" i="42" s="1"/>
  <c r="H95" i="42"/>
  <c r="D95" i="42"/>
  <c r="B95" i="42"/>
  <c r="X94" i="42"/>
  <c r="Z94" i="42" s="1"/>
  <c r="V94" i="42"/>
  <c r="L94" i="42"/>
  <c r="N94" i="42" s="1"/>
  <c r="B94" i="42"/>
  <c r="X93" i="42"/>
  <c r="Z93" i="42" s="1"/>
  <c r="T93" i="42"/>
  <c r="P93" i="42"/>
  <c r="H93" i="42"/>
  <c r="D93" i="42"/>
  <c r="B93" i="42"/>
  <c r="Z92" i="42"/>
  <c r="X92" i="42"/>
  <c r="L92" i="42"/>
  <c r="N92" i="42" s="1"/>
  <c r="B92" i="42"/>
  <c r="Z91" i="42"/>
  <c r="X91" i="42"/>
  <c r="N91" i="42"/>
  <c r="L91" i="42"/>
  <c r="B91" i="42"/>
  <c r="V90" i="42"/>
  <c r="T90" i="42"/>
  <c r="P90" i="42"/>
  <c r="N90" i="42"/>
  <c r="H90" i="42"/>
  <c r="D90" i="42"/>
  <c r="L90" i="42" s="1"/>
  <c r="B90" i="42"/>
  <c r="X89" i="42"/>
  <c r="Z89" i="42" s="1"/>
  <c r="L89" i="42"/>
  <c r="N89" i="42" s="1"/>
  <c r="B89" i="42"/>
  <c r="Z88" i="42"/>
  <c r="X88" i="42"/>
  <c r="L88" i="42"/>
  <c r="N88" i="42" s="1"/>
  <c r="B88" i="42"/>
  <c r="Z87" i="42"/>
  <c r="X87" i="42"/>
  <c r="N87" i="42"/>
  <c r="L87" i="42"/>
  <c r="F87" i="42"/>
  <c r="B87" i="42"/>
  <c r="X86" i="42"/>
  <c r="Z86" i="42" s="1"/>
  <c r="N86" i="42"/>
  <c r="L86" i="42"/>
  <c r="B86" i="42"/>
  <c r="X85" i="42"/>
  <c r="Z85" i="42" s="1"/>
  <c r="L85" i="42"/>
  <c r="N85" i="42" s="1"/>
  <c r="J85" i="42"/>
  <c r="B85" i="42"/>
  <c r="X84" i="42"/>
  <c r="Z84" i="42" s="1"/>
  <c r="L84" i="42"/>
  <c r="N84" i="42" s="1"/>
  <c r="B84" i="42"/>
  <c r="X83" i="42"/>
  <c r="Z83" i="42" s="1"/>
  <c r="N83" i="42"/>
  <c r="L83" i="42"/>
  <c r="B83" i="42"/>
  <c r="Z82" i="42"/>
  <c r="X82" i="42"/>
  <c r="R82" i="42"/>
  <c r="N82" i="42"/>
  <c r="L82" i="42"/>
  <c r="B82" i="42"/>
  <c r="X81" i="42"/>
  <c r="Z81" i="42" s="1"/>
  <c r="V81" i="42"/>
  <c r="L81" i="42"/>
  <c r="N81" i="42" s="1"/>
  <c r="B81" i="42"/>
  <c r="X80" i="42"/>
  <c r="Z80" i="42" s="1"/>
  <c r="T80" i="42"/>
  <c r="P80" i="42"/>
  <c r="H80" i="42"/>
  <c r="D80" i="42"/>
  <c r="L80" i="42" s="1"/>
  <c r="B80" i="42"/>
  <c r="X79" i="42"/>
  <c r="Z79" i="42" s="1"/>
  <c r="N79" i="42"/>
  <c r="L79" i="42"/>
  <c r="B79" i="42"/>
  <c r="T78" i="42"/>
  <c r="P78" i="42"/>
  <c r="X78" i="42" s="1"/>
  <c r="H78" i="42"/>
  <c r="D78" i="42"/>
  <c r="L78" i="42" s="1"/>
  <c r="N78" i="42" s="1"/>
  <c r="B78" i="42"/>
  <c r="X77" i="42"/>
  <c r="Z77" i="42" s="1"/>
  <c r="L77" i="42"/>
  <c r="N77" i="42" s="1"/>
  <c r="J77" i="42"/>
  <c r="B77" i="42"/>
  <c r="X76" i="42"/>
  <c r="Z76" i="42" s="1"/>
  <c r="L76" i="42"/>
  <c r="N76" i="42" s="1"/>
  <c r="B76" i="42"/>
  <c r="Z75" i="42"/>
  <c r="X75" i="42"/>
  <c r="N75" i="42"/>
  <c r="L75" i="42"/>
  <c r="B75" i="42"/>
  <c r="Z74" i="42"/>
  <c r="X74" i="42"/>
  <c r="R74" i="42"/>
  <c r="N74" i="42"/>
  <c r="L74" i="42"/>
  <c r="B74" i="42"/>
  <c r="X73" i="42"/>
  <c r="Z73" i="42" s="1"/>
  <c r="V73" i="42"/>
  <c r="L73" i="42"/>
  <c r="N73" i="42" s="1"/>
  <c r="B73" i="42"/>
  <c r="X72" i="42"/>
  <c r="Z72" i="42" s="1"/>
  <c r="T72" i="42"/>
  <c r="P72" i="42"/>
  <c r="H72" i="42"/>
  <c r="D72" i="42"/>
  <c r="L72" i="42" s="1"/>
  <c r="B72" i="42"/>
  <c r="Z71" i="42"/>
  <c r="X71" i="42"/>
  <c r="N71" i="42"/>
  <c r="L71" i="42"/>
  <c r="B71" i="42"/>
  <c r="Z70" i="42"/>
  <c r="X70" i="42"/>
  <c r="R70" i="42"/>
  <c r="N70" i="42"/>
  <c r="L70" i="42"/>
  <c r="B70" i="42"/>
  <c r="Z69" i="42"/>
  <c r="X69" i="42"/>
  <c r="V69" i="42"/>
  <c r="N69" i="42"/>
  <c r="L69" i="42"/>
  <c r="B69" i="42"/>
  <c r="X68" i="42"/>
  <c r="Z68" i="42" s="1"/>
  <c r="T68" i="42"/>
  <c r="P68" i="42"/>
  <c r="H68" i="42"/>
  <c r="D68" i="42"/>
  <c r="L68" i="42" s="1"/>
  <c r="B68" i="42"/>
  <c r="Z67" i="42"/>
  <c r="X67" i="42"/>
  <c r="N67" i="42"/>
  <c r="L67" i="42"/>
  <c r="B67" i="42"/>
  <c r="T66" i="42"/>
  <c r="P66" i="42"/>
  <c r="X66" i="42" s="1"/>
  <c r="H66" i="42"/>
  <c r="D66" i="42"/>
  <c r="L66" i="42" s="1"/>
  <c r="N66" i="42" s="1"/>
  <c r="B66" i="42"/>
  <c r="X65" i="42"/>
  <c r="Z65" i="42" s="1"/>
  <c r="L65" i="42"/>
  <c r="N65" i="42" s="1"/>
  <c r="J65" i="42"/>
  <c r="B65" i="42"/>
  <c r="T64" i="42"/>
  <c r="P64" i="42"/>
  <c r="X64" i="42" s="1"/>
  <c r="Z64" i="42" s="1"/>
  <c r="H64" i="42"/>
  <c r="L64" i="42" s="1"/>
  <c r="N64" i="42" s="1"/>
  <c r="D64" i="42"/>
  <c r="B64" i="42"/>
  <c r="Z63" i="42"/>
  <c r="X63" i="42"/>
  <c r="N63" i="42"/>
  <c r="L63" i="42"/>
  <c r="B63" i="42"/>
  <c r="T62" i="42"/>
  <c r="X62" i="42" s="1"/>
  <c r="Z62" i="42" s="1"/>
  <c r="P62" i="42"/>
  <c r="L62" i="42"/>
  <c r="N62" i="42" s="1"/>
  <c r="H62" i="42"/>
  <c r="D62" i="42"/>
  <c r="B62" i="42"/>
  <c r="X61" i="42"/>
  <c r="Z61" i="42" s="1"/>
  <c r="V61" i="42"/>
  <c r="N61" i="42"/>
  <c r="L61" i="42"/>
  <c r="B61" i="42"/>
  <c r="X60" i="42"/>
  <c r="Z60" i="42" s="1"/>
  <c r="T60" i="42"/>
  <c r="P60" i="42"/>
  <c r="H60" i="42"/>
  <c r="N60" i="42" s="1"/>
  <c r="D60" i="42"/>
  <c r="L60" i="42" s="1"/>
  <c r="B60" i="42"/>
  <c r="Z59" i="42"/>
  <c r="X59" i="42"/>
  <c r="N59" i="42"/>
  <c r="L59" i="42"/>
  <c r="B59" i="42"/>
  <c r="T58" i="42"/>
  <c r="P58" i="42"/>
  <c r="X58" i="42" s="1"/>
  <c r="H58" i="42"/>
  <c r="D58" i="42"/>
  <c r="L58" i="42" s="1"/>
  <c r="N58" i="42" s="1"/>
  <c r="B58" i="42"/>
  <c r="X57" i="42"/>
  <c r="Z57" i="42" s="1"/>
  <c r="L57" i="42"/>
  <c r="N57" i="42" s="1"/>
  <c r="J57" i="42"/>
  <c r="B57" i="42"/>
  <c r="T56" i="42"/>
  <c r="P56" i="42"/>
  <c r="X56" i="42" s="1"/>
  <c r="Z56" i="42" s="1"/>
  <c r="H56" i="42"/>
  <c r="L56" i="42" s="1"/>
  <c r="D56" i="42"/>
  <c r="B56" i="42"/>
  <c r="Z55" i="42"/>
  <c r="X55" i="42"/>
  <c r="N55" i="42"/>
  <c r="L55" i="42"/>
  <c r="B55" i="42"/>
  <c r="Z54" i="42"/>
  <c r="X54" i="42"/>
  <c r="N54" i="42"/>
  <c r="L54" i="42"/>
  <c r="B54" i="42"/>
  <c r="T53" i="42"/>
  <c r="P53" i="42"/>
  <c r="N53" i="42"/>
  <c r="L53" i="42"/>
  <c r="H53" i="42"/>
  <c r="D53" i="42"/>
  <c r="B53" i="42"/>
  <c r="X52" i="42"/>
  <c r="Z52" i="42" s="1"/>
  <c r="L52" i="42"/>
  <c r="N52" i="42" s="1"/>
  <c r="B52" i="42"/>
  <c r="Z51" i="42"/>
  <c r="X51" i="42"/>
  <c r="T51" i="42"/>
  <c r="P51" i="42"/>
  <c r="J51" i="42"/>
  <c r="H51" i="42"/>
  <c r="D51" i="42"/>
  <c r="L51" i="42" s="1"/>
  <c r="B51" i="42"/>
  <c r="Z50" i="42"/>
  <c r="X50" i="42"/>
  <c r="R50" i="42"/>
  <c r="N50" i="42"/>
  <c r="L50" i="42"/>
  <c r="B50" i="42"/>
  <c r="V49" i="42"/>
  <c r="T49" i="42"/>
  <c r="P49" i="42"/>
  <c r="X49" i="42" s="1"/>
  <c r="H49" i="42"/>
  <c r="D49" i="42"/>
  <c r="L49" i="42" s="1"/>
  <c r="N49" i="42" s="1"/>
  <c r="B49" i="42"/>
  <c r="Z48" i="42"/>
  <c r="X48" i="42"/>
  <c r="N48" i="42"/>
  <c r="L48" i="42"/>
  <c r="B48" i="42"/>
  <c r="Z47" i="42"/>
  <c r="T47" i="42"/>
  <c r="R47" i="42"/>
  <c r="P47" i="42"/>
  <c r="X47" i="42" s="1"/>
  <c r="H47" i="42"/>
  <c r="N47" i="42" s="1"/>
  <c r="D47" i="42"/>
  <c r="B47" i="42"/>
  <c r="Z46" i="42"/>
  <c r="X46" i="42"/>
  <c r="N46" i="42"/>
  <c r="L46" i="42"/>
  <c r="F46" i="42"/>
  <c r="B46" i="42"/>
  <c r="Z45" i="42"/>
  <c r="X45" i="42"/>
  <c r="N45" i="42"/>
  <c r="L45" i="42"/>
  <c r="J45" i="42"/>
  <c r="B45" i="42"/>
  <c r="X44" i="42"/>
  <c r="Z44" i="42" s="1"/>
  <c r="L44" i="42"/>
  <c r="N44" i="42" s="1"/>
  <c r="B44" i="42"/>
  <c r="Z43" i="42"/>
  <c r="X43" i="42"/>
  <c r="N43" i="42"/>
  <c r="L43" i="42"/>
  <c r="B43" i="42"/>
  <c r="Z42" i="42"/>
  <c r="X42" i="42"/>
  <c r="R42" i="42"/>
  <c r="N42" i="42"/>
  <c r="L42" i="42"/>
  <c r="B42" i="42"/>
  <c r="X41" i="42"/>
  <c r="Z41" i="42" s="1"/>
  <c r="V41" i="42"/>
  <c r="L41" i="42"/>
  <c r="N41" i="42" s="1"/>
  <c r="B41" i="42"/>
  <c r="X40" i="42"/>
  <c r="Z40" i="42" s="1"/>
  <c r="L40" i="42"/>
  <c r="N40" i="42" s="1"/>
  <c r="B40" i="42"/>
  <c r="Z39" i="42"/>
  <c r="X39" i="42"/>
  <c r="N39" i="42"/>
  <c r="L39" i="42"/>
  <c r="B39" i="42"/>
  <c r="Z38" i="42"/>
  <c r="X38" i="42"/>
  <c r="N38" i="42"/>
  <c r="L38" i="42"/>
  <c r="B38" i="42"/>
  <c r="X37" i="42"/>
  <c r="Z37" i="42" s="1"/>
  <c r="L37" i="42"/>
  <c r="N37" i="42" s="1"/>
  <c r="J37" i="42"/>
  <c r="B37" i="42"/>
  <c r="T36" i="42"/>
  <c r="P36" i="42"/>
  <c r="X36" i="42" s="1"/>
  <c r="Z36" i="42" s="1"/>
  <c r="H36" i="42"/>
  <c r="L36" i="42" s="1"/>
  <c r="D36" i="42"/>
  <c r="B36" i="42"/>
  <c r="Z35" i="42"/>
  <c r="X35" i="42"/>
  <c r="N35" i="42"/>
  <c r="L35" i="42"/>
  <c r="B35" i="42"/>
  <c r="Z34" i="42"/>
  <c r="X34" i="42"/>
  <c r="N34" i="42"/>
  <c r="L34" i="42"/>
  <c r="B34" i="42"/>
  <c r="X33" i="42"/>
  <c r="Z33" i="42" s="1"/>
  <c r="L33" i="42"/>
  <c r="N33" i="42" s="1"/>
  <c r="J33" i="42"/>
  <c r="B33" i="42"/>
  <c r="Z32" i="42"/>
  <c r="X32" i="42"/>
  <c r="N32" i="42"/>
  <c r="L32" i="42"/>
  <c r="B32" i="42"/>
  <c r="Z31" i="42"/>
  <c r="X31" i="42"/>
  <c r="N31" i="42"/>
  <c r="L31" i="42"/>
  <c r="B31" i="42"/>
  <c r="Z30" i="42"/>
  <c r="X30" i="42"/>
  <c r="R30" i="42"/>
  <c r="N30" i="42"/>
  <c r="L30" i="42"/>
  <c r="B30" i="42"/>
  <c r="X29" i="42"/>
  <c r="Z29" i="42" s="1"/>
  <c r="V29" i="42"/>
  <c r="L29" i="42"/>
  <c r="N29" i="42" s="1"/>
  <c r="B29" i="42"/>
  <c r="X28" i="42"/>
  <c r="Z28" i="42" s="1"/>
  <c r="L28" i="42"/>
  <c r="N28" i="42" s="1"/>
  <c r="B28" i="42"/>
  <c r="Z27" i="42"/>
  <c r="X27" i="42"/>
  <c r="N27" i="42"/>
  <c r="L27" i="42"/>
  <c r="B27" i="42"/>
  <c r="T26" i="42"/>
  <c r="Z26" i="42" s="1"/>
  <c r="P26" i="42"/>
  <c r="X26" i="42" s="1"/>
  <c r="L26" i="42"/>
  <c r="N26" i="42" s="1"/>
  <c r="H26" i="42"/>
  <c r="D26" i="42"/>
  <c r="B26" i="42"/>
  <c r="V25" i="42"/>
  <c r="T25" i="42"/>
  <c r="P25" i="42"/>
  <c r="X25" i="42" s="1"/>
  <c r="H25" i="42"/>
  <c r="D25" i="42"/>
  <c r="L25" i="42" s="1"/>
  <c r="N25" i="42" s="1"/>
  <c r="Z21" i="42"/>
  <c r="X21" i="42"/>
  <c r="V21" i="42"/>
  <c r="R21" i="42"/>
  <c r="N21" i="42"/>
  <c r="L21" i="42"/>
  <c r="J21" i="42"/>
  <c r="B21" i="42"/>
  <c r="Z20" i="42"/>
  <c r="X20" i="42"/>
  <c r="V20" i="42"/>
  <c r="N20" i="42"/>
  <c r="L20" i="42"/>
  <c r="B20" i="42"/>
  <c r="Z19" i="42"/>
  <c r="X19" i="42"/>
  <c r="N19" i="42"/>
  <c r="L19" i="42"/>
  <c r="B19" i="42"/>
  <c r="T18" i="42"/>
  <c r="P18" i="42"/>
  <c r="X18" i="42" s="1"/>
  <c r="Z18" i="42" s="1"/>
  <c r="L18" i="42"/>
  <c r="N18" i="42" s="1"/>
  <c r="J18" i="42"/>
  <c r="H18" i="42"/>
  <c r="D18" i="42"/>
  <c r="Z16" i="42"/>
  <c r="P16" i="42"/>
  <c r="X16" i="42" s="1"/>
  <c r="N16" i="42"/>
  <c r="L16" i="42"/>
  <c r="D16" i="42"/>
  <c r="B16" i="42"/>
  <c r="Z15" i="42"/>
  <c r="X15" i="42"/>
  <c r="P15" i="42"/>
  <c r="L15" i="42"/>
  <c r="N15" i="42" s="1"/>
  <c r="D15" i="42"/>
  <c r="B15" i="42"/>
  <c r="Z14" i="42"/>
  <c r="X14" i="42"/>
  <c r="P14" i="42"/>
  <c r="N14" i="42"/>
  <c r="D14" i="42"/>
  <c r="L14" i="42" s="1"/>
  <c r="B14" i="42"/>
  <c r="P13" i="42"/>
  <c r="X13" i="42" s="1"/>
  <c r="Z13" i="42" s="1"/>
  <c r="D13" i="42"/>
  <c r="L13" i="42" s="1"/>
  <c r="N13" i="42" s="1"/>
  <c r="B13" i="42"/>
  <c r="T12" i="42"/>
  <c r="V85" i="42" s="1"/>
  <c r="P12" i="42"/>
  <c r="R85" i="42" s="1"/>
  <c r="H12" i="42"/>
  <c r="J99" i="42" s="1"/>
  <c r="D12" i="42"/>
  <c r="F49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34" i="41" s="1"/>
  <c r="P12" i="41"/>
  <c r="H12" i="41"/>
  <c r="J21" i="41" s="1"/>
  <c r="D12" i="4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20" i="40" s="1"/>
  <c r="P12" i="40"/>
  <c r="R22" i="40" s="1"/>
  <c r="H12" i="40"/>
  <c r="J20" i="40" s="1"/>
  <c r="D12" i="40"/>
  <c r="F20" i="40" s="1"/>
  <c r="D5" i="40"/>
  <c r="D4" i="40"/>
  <c r="Z109" i="39"/>
  <c r="X109" i="39"/>
  <c r="N109" i="39"/>
  <c r="L109" i="39"/>
  <c r="Z105" i="39"/>
  <c r="X105" i="39"/>
  <c r="P105" i="39"/>
  <c r="N105" i="39"/>
  <c r="D105" i="39"/>
  <c r="D102" i="39" s="1"/>
  <c r="L102" i="39" s="1"/>
  <c r="B105" i="39"/>
  <c r="Z104" i="39"/>
  <c r="X104" i="39"/>
  <c r="P104" i="39"/>
  <c r="P102" i="39" s="1"/>
  <c r="X102" i="39" s="1"/>
  <c r="N104" i="39"/>
  <c r="L104" i="39"/>
  <c r="D104" i="39"/>
  <c r="B104" i="39"/>
  <c r="Z103" i="39"/>
  <c r="X103" i="39"/>
  <c r="V103" i="39"/>
  <c r="P103" i="39"/>
  <c r="N103" i="39"/>
  <c r="L103" i="39"/>
  <c r="D103" i="39"/>
  <c r="B103" i="39"/>
  <c r="Z102" i="39"/>
  <c r="T102" i="39"/>
  <c r="N102" i="39"/>
  <c r="H102" i="39"/>
  <c r="Z100" i="39"/>
  <c r="X100" i="39"/>
  <c r="N100" i="39"/>
  <c r="L100" i="39"/>
  <c r="B100" i="39"/>
  <c r="V99" i="39"/>
  <c r="T99" i="39"/>
  <c r="Z99" i="39" s="1"/>
  <c r="P99" i="39"/>
  <c r="X99" i="39" s="1"/>
  <c r="H99" i="39"/>
  <c r="D99" i="39"/>
  <c r="L99" i="39" s="1"/>
  <c r="N99" i="39" s="1"/>
  <c r="B99" i="39"/>
  <c r="X98" i="39"/>
  <c r="Z98" i="39" s="1"/>
  <c r="L98" i="39"/>
  <c r="N98" i="39" s="1"/>
  <c r="B98" i="39"/>
  <c r="T97" i="39"/>
  <c r="P97" i="39"/>
  <c r="X97" i="39" s="1"/>
  <c r="Z97" i="39" s="1"/>
  <c r="L97" i="39"/>
  <c r="H97" i="39"/>
  <c r="N97" i="39" s="1"/>
  <c r="D97" i="39"/>
  <c r="B97" i="39"/>
  <c r="Z96" i="39"/>
  <c r="X96" i="39"/>
  <c r="N96" i="39"/>
  <c r="L96" i="39"/>
  <c r="B96" i="39"/>
  <c r="X95" i="39"/>
  <c r="Z95" i="39" s="1"/>
  <c r="L95" i="39"/>
  <c r="N95" i="39" s="1"/>
  <c r="J95" i="39"/>
  <c r="B95" i="39"/>
  <c r="T94" i="39"/>
  <c r="P94" i="39"/>
  <c r="X94" i="39" s="1"/>
  <c r="Z94" i="39" s="1"/>
  <c r="H94" i="39"/>
  <c r="L94" i="39" s="1"/>
  <c r="N94" i="39" s="1"/>
  <c r="D94" i="39"/>
  <c r="B94" i="39"/>
  <c r="Z93" i="39"/>
  <c r="X93" i="39"/>
  <c r="N93" i="39"/>
  <c r="L93" i="39"/>
  <c r="B93" i="39"/>
  <c r="Z92" i="39"/>
  <c r="X92" i="39"/>
  <c r="N92" i="39"/>
  <c r="L92" i="39"/>
  <c r="B92" i="39"/>
  <c r="X91" i="39"/>
  <c r="Z91" i="39" s="1"/>
  <c r="L91" i="39"/>
  <c r="N91" i="39" s="1"/>
  <c r="J91" i="39"/>
  <c r="B91" i="39"/>
  <c r="X90" i="39"/>
  <c r="Z90" i="39" s="1"/>
  <c r="N90" i="39"/>
  <c r="L90" i="39"/>
  <c r="B90" i="39"/>
  <c r="Z89" i="39"/>
  <c r="X89" i="39"/>
  <c r="N89" i="39"/>
  <c r="L89" i="39"/>
  <c r="B89" i="39"/>
  <c r="Z88" i="39"/>
  <c r="X88" i="39"/>
  <c r="N88" i="39"/>
  <c r="L88" i="39"/>
  <c r="B88" i="39"/>
  <c r="X87" i="39"/>
  <c r="Z87" i="39" s="1"/>
  <c r="V87" i="39"/>
  <c r="L87" i="39"/>
  <c r="N87" i="39" s="1"/>
  <c r="B87" i="39"/>
  <c r="X86" i="39"/>
  <c r="Z86" i="39" s="1"/>
  <c r="L86" i="39"/>
  <c r="N86" i="39" s="1"/>
  <c r="B86" i="39"/>
  <c r="Z85" i="39"/>
  <c r="X85" i="39"/>
  <c r="N85" i="39"/>
  <c r="L85" i="39"/>
  <c r="B85" i="39"/>
  <c r="Z84" i="39"/>
  <c r="X84" i="39"/>
  <c r="N84" i="39"/>
  <c r="L84" i="39"/>
  <c r="B84" i="39"/>
  <c r="X83" i="39"/>
  <c r="T83" i="39"/>
  <c r="Z83" i="39" s="1"/>
  <c r="P83" i="39"/>
  <c r="N83" i="39"/>
  <c r="L83" i="39"/>
  <c r="H83" i="39"/>
  <c r="D83" i="39"/>
  <c r="B83" i="39"/>
  <c r="X82" i="39"/>
  <c r="Z82" i="39" s="1"/>
  <c r="L82" i="39"/>
  <c r="N82" i="39" s="1"/>
  <c r="B82" i="39"/>
  <c r="Z81" i="39"/>
  <c r="X81" i="39"/>
  <c r="T81" i="39"/>
  <c r="P81" i="39"/>
  <c r="J81" i="39"/>
  <c r="H81" i="39"/>
  <c r="N81" i="39" s="1"/>
  <c r="D81" i="39"/>
  <c r="L81" i="39" s="1"/>
  <c r="B81" i="39"/>
  <c r="Z80" i="39"/>
  <c r="X80" i="39"/>
  <c r="N80" i="39"/>
  <c r="L80" i="39"/>
  <c r="B80" i="39"/>
  <c r="X79" i="39"/>
  <c r="Z79" i="39" s="1"/>
  <c r="V79" i="39"/>
  <c r="L79" i="39"/>
  <c r="N79" i="39" s="1"/>
  <c r="B79" i="39"/>
  <c r="X78" i="39"/>
  <c r="Z78" i="39" s="1"/>
  <c r="L78" i="39"/>
  <c r="N78" i="39" s="1"/>
  <c r="B78" i="39"/>
  <c r="Z77" i="39"/>
  <c r="X77" i="39"/>
  <c r="N77" i="39"/>
  <c r="L77" i="39"/>
  <c r="B77" i="39"/>
  <c r="Z76" i="39"/>
  <c r="X76" i="39"/>
  <c r="N76" i="39"/>
  <c r="L76" i="39"/>
  <c r="B76" i="39"/>
  <c r="X75" i="39"/>
  <c r="T75" i="39"/>
  <c r="Z75" i="39" s="1"/>
  <c r="P75" i="39"/>
  <c r="N75" i="39"/>
  <c r="L75" i="39"/>
  <c r="H75" i="39"/>
  <c r="D75" i="39"/>
  <c r="B75" i="39"/>
  <c r="X74" i="39"/>
  <c r="Z74" i="39" s="1"/>
  <c r="N74" i="39"/>
  <c r="L74" i="39"/>
  <c r="B74" i="39"/>
  <c r="Z73" i="39"/>
  <c r="X73" i="39"/>
  <c r="T73" i="39"/>
  <c r="P73" i="39"/>
  <c r="J73" i="39"/>
  <c r="H73" i="39"/>
  <c r="N73" i="39" s="1"/>
  <c r="D73" i="39"/>
  <c r="L73" i="39" s="1"/>
  <c r="B73" i="39"/>
  <c r="Z72" i="39"/>
  <c r="X72" i="39"/>
  <c r="N72" i="39"/>
  <c r="L72" i="39"/>
  <c r="B72" i="39"/>
  <c r="X71" i="39"/>
  <c r="Z71" i="39" s="1"/>
  <c r="V71" i="39"/>
  <c r="N71" i="39"/>
  <c r="L71" i="39"/>
  <c r="B71" i="39"/>
  <c r="Z70" i="39"/>
  <c r="X70" i="39"/>
  <c r="N70" i="39"/>
  <c r="L70" i="39"/>
  <c r="B70" i="39"/>
  <c r="Z69" i="39"/>
  <c r="X69" i="39"/>
  <c r="T69" i="39"/>
  <c r="P69" i="39"/>
  <c r="J69" i="39"/>
  <c r="H69" i="39"/>
  <c r="N69" i="39" s="1"/>
  <c r="D69" i="39"/>
  <c r="L69" i="39" s="1"/>
  <c r="B69" i="39"/>
  <c r="Z68" i="39"/>
  <c r="X68" i="39"/>
  <c r="N68" i="39"/>
  <c r="L68" i="39"/>
  <c r="B68" i="39"/>
  <c r="V67" i="39"/>
  <c r="T67" i="39"/>
  <c r="P67" i="39"/>
  <c r="X67" i="39" s="1"/>
  <c r="H67" i="39"/>
  <c r="D67" i="39"/>
  <c r="L67" i="39" s="1"/>
  <c r="N67" i="39" s="1"/>
  <c r="B67" i="39"/>
  <c r="Z66" i="39"/>
  <c r="X66" i="39"/>
  <c r="L66" i="39"/>
  <c r="N66" i="39" s="1"/>
  <c r="B66" i="39"/>
  <c r="T65" i="39"/>
  <c r="P65" i="39"/>
  <c r="X65" i="39" s="1"/>
  <c r="Z65" i="39" s="1"/>
  <c r="L65" i="39"/>
  <c r="H65" i="39"/>
  <c r="N65" i="39" s="1"/>
  <c r="D65" i="39"/>
  <c r="B65" i="39"/>
  <c r="Z64" i="39"/>
  <c r="X64" i="39"/>
  <c r="N64" i="39"/>
  <c r="L64" i="39"/>
  <c r="B64" i="39"/>
  <c r="X63" i="39"/>
  <c r="T63" i="39"/>
  <c r="Z63" i="39" s="1"/>
  <c r="P63" i="39"/>
  <c r="N63" i="39"/>
  <c r="L63" i="39"/>
  <c r="H63" i="39"/>
  <c r="D63" i="39"/>
  <c r="B63" i="39"/>
  <c r="X62" i="39"/>
  <c r="Z62" i="39" s="1"/>
  <c r="N62" i="39"/>
  <c r="L62" i="39"/>
  <c r="B62" i="39"/>
  <c r="Z61" i="39"/>
  <c r="X61" i="39"/>
  <c r="T61" i="39"/>
  <c r="P61" i="39"/>
  <c r="J61" i="39"/>
  <c r="H61" i="39"/>
  <c r="N61" i="39" s="1"/>
  <c r="D61" i="39"/>
  <c r="L61" i="39" s="1"/>
  <c r="B61" i="39"/>
  <c r="Z60" i="39"/>
  <c r="X60" i="39"/>
  <c r="N60" i="39"/>
  <c r="L60" i="39"/>
  <c r="B60" i="39"/>
  <c r="V59" i="39"/>
  <c r="T59" i="39"/>
  <c r="P59" i="39"/>
  <c r="X59" i="39" s="1"/>
  <c r="H59" i="39"/>
  <c r="D59" i="39"/>
  <c r="L59" i="39" s="1"/>
  <c r="N59" i="39" s="1"/>
  <c r="B59" i="39"/>
  <c r="Z58" i="39"/>
  <c r="X58" i="39"/>
  <c r="L58" i="39"/>
  <c r="N58" i="39" s="1"/>
  <c r="B58" i="39"/>
  <c r="T57" i="39"/>
  <c r="P57" i="39"/>
  <c r="X57" i="39" s="1"/>
  <c r="Z57" i="39" s="1"/>
  <c r="L57" i="39"/>
  <c r="H57" i="39"/>
  <c r="N57" i="39" s="1"/>
  <c r="D57" i="39"/>
  <c r="B57" i="39"/>
  <c r="Z56" i="39"/>
  <c r="X56" i="39"/>
  <c r="N56" i="39"/>
  <c r="L56" i="39"/>
  <c r="B56" i="39"/>
  <c r="Z55" i="39"/>
  <c r="X55" i="39"/>
  <c r="N55" i="39"/>
  <c r="L55" i="39"/>
  <c r="J55" i="39"/>
  <c r="B55" i="39"/>
  <c r="T54" i="39"/>
  <c r="P54" i="39"/>
  <c r="X54" i="39" s="1"/>
  <c r="Z54" i="39" s="1"/>
  <c r="H54" i="39"/>
  <c r="D54" i="39"/>
  <c r="L54" i="39" s="1"/>
  <c r="N54" i="39" s="1"/>
  <c r="B54" i="39"/>
  <c r="Z53" i="39"/>
  <c r="X53" i="39"/>
  <c r="N53" i="39"/>
  <c r="L53" i="39"/>
  <c r="B53" i="39"/>
  <c r="T52" i="39"/>
  <c r="P52" i="39"/>
  <c r="X52" i="39" s="1"/>
  <c r="Z52" i="39" s="1"/>
  <c r="L52" i="39"/>
  <c r="N52" i="39" s="1"/>
  <c r="H52" i="39"/>
  <c r="D52" i="39"/>
  <c r="B52" i="39"/>
  <c r="X51" i="39"/>
  <c r="Z51" i="39" s="1"/>
  <c r="V51" i="39"/>
  <c r="L51" i="39"/>
  <c r="N51" i="39" s="1"/>
  <c r="B51" i="39"/>
  <c r="X50" i="39"/>
  <c r="Z50" i="39" s="1"/>
  <c r="T50" i="39"/>
  <c r="P50" i="39"/>
  <c r="H50" i="39"/>
  <c r="D50" i="39"/>
  <c r="B50" i="39"/>
  <c r="Z49" i="39"/>
  <c r="X49" i="39"/>
  <c r="N49" i="39"/>
  <c r="L49" i="39"/>
  <c r="B49" i="39"/>
  <c r="T48" i="39"/>
  <c r="Z48" i="39" s="1"/>
  <c r="P48" i="39"/>
  <c r="N48" i="39"/>
  <c r="H48" i="39"/>
  <c r="D48" i="39"/>
  <c r="L48" i="39" s="1"/>
  <c r="B48" i="39"/>
  <c r="Z47" i="39"/>
  <c r="X47" i="39"/>
  <c r="N47" i="39"/>
  <c r="L47" i="39"/>
  <c r="J47" i="39"/>
  <c r="B47" i="39"/>
  <c r="Z46" i="39"/>
  <c r="X46" i="39"/>
  <c r="N46" i="39"/>
  <c r="L46" i="39"/>
  <c r="J46" i="39"/>
  <c r="B46" i="39"/>
  <c r="Z45" i="39"/>
  <c r="X45" i="39"/>
  <c r="N45" i="39"/>
  <c r="L45" i="39"/>
  <c r="B45" i="39"/>
  <c r="Z44" i="39"/>
  <c r="X44" i="39"/>
  <c r="N44" i="39"/>
  <c r="L44" i="39"/>
  <c r="B44" i="39"/>
  <c r="Z43" i="39"/>
  <c r="X43" i="39"/>
  <c r="V43" i="39"/>
  <c r="N43" i="39"/>
  <c r="L43" i="39"/>
  <c r="B43" i="39"/>
  <c r="X42" i="39"/>
  <c r="Z42" i="39" s="1"/>
  <c r="N42" i="39"/>
  <c r="L42" i="39"/>
  <c r="B42" i="39"/>
  <c r="Z41" i="39"/>
  <c r="X41" i="39"/>
  <c r="N41" i="39"/>
  <c r="L41" i="39"/>
  <c r="B41" i="39"/>
  <c r="Z40" i="39"/>
  <c r="X40" i="39"/>
  <c r="N40" i="39"/>
  <c r="L40" i="39"/>
  <c r="F40" i="39"/>
  <c r="B40" i="39"/>
  <c r="X39" i="39"/>
  <c r="Z39" i="39" s="1"/>
  <c r="L39" i="39"/>
  <c r="N39" i="39" s="1"/>
  <c r="J39" i="39"/>
  <c r="B39" i="39"/>
  <c r="Z38" i="39"/>
  <c r="X38" i="39"/>
  <c r="L38" i="39"/>
  <c r="N38" i="39" s="1"/>
  <c r="J38" i="39"/>
  <c r="B38" i="39"/>
  <c r="T37" i="39"/>
  <c r="P37" i="39"/>
  <c r="X37" i="39" s="1"/>
  <c r="Z37" i="39" s="1"/>
  <c r="L37" i="39"/>
  <c r="H37" i="39"/>
  <c r="N37" i="39" s="1"/>
  <c r="D37" i="39"/>
  <c r="B37" i="39"/>
  <c r="Z36" i="39"/>
  <c r="X36" i="39"/>
  <c r="N36" i="39"/>
  <c r="L36" i="39"/>
  <c r="B36" i="39"/>
  <c r="X35" i="39"/>
  <c r="Z35" i="39" s="1"/>
  <c r="L35" i="39"/>
  <c r="N35" i="39" s="1"/>
  <c r="J35" i="39"/>
  <c r="B35" i="39"/>
  <c r="Z34" i="39"/>
  <c r="X34" i="39"/>
  <c r="L34" i="39"/>
  <c r="N34" i="39" s="1"/>
  <c r="J34" i="39"/>
  <c r="B34" i="39"/>
  <c r="Z33" i="39"/>
  <c r="X33" i="39"/>
  <c r="N33" i="39"/>
  <c r="L33" i="39"/>
  <c r="B33" i="39"/>
  <c r="Z32" i="39"/>
  <c r="X32" i="39"/>
  <c r="N32" i="39"/>
  <c r="L32" i="39"/>
  <c r="B32" i="39"/>
  <c r="X31" i="39"/>
  <c r="Z31" i="39" s="1"/>
  <c r="V31" i="39"/>
  <c r="L31" i="39"/>
  <c r="N31" i="39" s="1"/>
  <c r="B31" i="39"/>
  <c r="X30" i="39"/>
  <c r="Z30" i="39" s="1"/>
  <c r="V30" i="39"/>
  <c r="N30" i="39"/>
  <c r="L30" i="39"/>
  <c r="B30" i="39"/>
  <c r="Z29" i="39"/>
  <c r="X29" i="39"/>
  <c r="N29" i="39"/>
  <c r="L29" i="39"/>
  <c r="B29" i="39"/>
  <c r="Z28" i="39"/>
  <c r="X28" i="39"/>
  <c r="N28" i="39"/>
  <c r="L28" i="39"/>
  <c r="B28" i="39"/>
  <c r="X27" i="39"/>
  <c r="T27" i="39"/>
  <c r="Z27" i="39" s="1"/>
  <c r="P27" i="39"/>
  <c r="N27" i="39"/>
  <c r="L27" i="39"/>
  <c r="H27" i="39"/>
  <c r="D27" i="39"/>
  <c r="B27" i="39"/>
  <c r="X26" i="39"/>
  <c r="Z26" i="39" s="1"/>
  <c r="V26" i="39"/>
  <c r="T26" i="39"/>
  <c r="P26" i="39"/>
  <c r="H26" i="39"/>
  <c r="D26" i="39"/>
  <c r="H24" i="39"/>
  <c r="J24" i="39" s="1"/>
  <c r="Z22" i="39"/>
  <c r="X22" i="39"/>
  <c r="V22" i="39"/>
  <c r="N22" i="39"/>
  <c r="L22" i="39"/>
  <c r="B22" i="39"/>
  <c r="Z21" i="39"/>
  <c r="X21" i="39"/>
  <c r="N21" i="39"/>
  <c r="L21" i="39"/>
  <c r="B21" i="39"/>
  <c r="Z20" i="39"/>
  <c r="X20" i="39"/>
  <c r="N20" i="39"/>
  <c r="L20" i="39"/>
  <c r="B20" i="39"/>
  <c r="X19" i="39"/>
  <c r="V19" i="39"/>
  <c r="T19" i="39"/>
  <c r="Z19" i="39" s="1"/>
  <c r="P19" i="39"/>
  <c r="N19" i="39"/>
  <c r="L19" i="39"/>
  <c r="H19" i="39"/>
  <c r="D19" i="39"/>
  <c r="Z17" i="39"/>
  <c r="P17" i="39"/>
  <c r="N17" i="39"/>
  <c r="D17" i="39"/>
  <c r="L17" i="39" s="1"/>
  <c r="B17" i="39"/>
  <c r="Z16" i="39"/>
  <c r="P16" i="39"/>
  <c r="X16" i="39" s="1"/>
  <c r="N16" i="39"/>
  <c r="L16" i="39"/>
  <c r="D16" i="39"/>
  <c r="B16" i="39"/>
  <c r="Z15" i="39"/>
  <c r="X15" i="39"/>
  <c r="P15" i="39"/>
  <c r="L15" i="39"/>
  <c r="N15" i="39" s="1"/>
  <c r="D15" i="39"/>
  <c r="B15" i="39"/>
  <c r="Z14" i="39"/>
  <c r="X14" i="39"/>
  <c r="P14" i="39"/>
  <c r="N14" i="39"/>
  <c r="D14" i="39"/>
  <c r="L14" i="39" s="1"/>
  <c r="B14" i="39"/>
  <c r="P13" i="39"/>
  <c r="X13" i="39" s="1"/>
  <c r="Z13" i="39" s="1"/>
  <c r="D13" i="39"/>
  <c r="L13" i="39" s="1"/>
  <c r="N13" i="39" s="1"/>
  <c r="B13" i="39"/>
  <c r="T12" i="39"/>
  <c r="H12" i="39"/>
  <c r="J109" i="39" s="1"/>
  <c r="D12" i="39"/>
  <c r="F36" i="39" s="1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V34" i="38" s="1"/>
  <c r="P12" i="38"/>
  <c r="H12" i="38"/>
  <c r="J21" i="38" s="1"/>
  <c r="D12" i="38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20" i="37" s="1"/>
  <c r="P12" i="37"/>
  <c r="R22" i="37" s="1"/>
  <c r="H12" i="37"/>
  <c r="D12" i="37"/>
  <c r="F20" i="37" s="1"/>
  <c r="D5" i="37"/>
  <c r="D4" i="37"/>
  <c r="Z115" i="36"/>
  <c r="X115" i="36"/>
  <c r="N115" i="36"/>
  <c r="L115" i="36"/>
  <c r="Z111" i="36"/>
  <c r="X111" i="36"/>
  <c r="P111" i="36"/>
  <c r="N111" i="36"/>
  <c r="D111" i="36"/>
  <c r="D108" i="36" s="1"/>
  <c r="L108" i="36" s="1"/>
  <c r="B111" i="36"/>
  <c r="Z110" i="36"/>
  <c r="X110" i="36"/>
  <c r="P110" i="36"/>
  <c r="P108" i="36" s="1"/>
  <c r="X108" i="36" s="1"/>
  <c r="N110" i="36"/>
  <c r="L110" i="36"/>
  <c r="D110" i="36"/>
  <c r="B110" i="36"/>
  <c r="Z109" i="36"/>
  <c r="X109" i="36"/>
  <c r="V109" i="36"/>
  <c r="P109" i="36"/>
  <c r="N109" i="36"/>
  <c r="L109" i="36"/>
  <c r="D109" i="36"/>
  <c r="B109" i="36"/>
  <c r="Z108" i="36"/>
  <c r="T108" i="36"/>
  <c r="N108" i="36"/>
  <c r="H108" i="36"/>
  <c r="Z106" i="36"/>
  <c r="X106" i="36"/>
  <c r="R106" i="36"/>
  <c r="N106" i="36"/>
  <c r="L106" i="36"/>
  <c r="B106" i="36"/>
  <c r="V105" i="36"/>
  <c r="T105" i="36"/>
  <c r="Z105" i="36" s="1"/>
  <c r="P105" i="36"/>
  <c r="X105" i="36" s="1"/>
  <c r="H105" i="36"/>
  <c r="D105" i="36"/>
  <c r="L105" i="36" s="1"/>
  <c r="N105" i="36" s="1"/>
  <c r="B105" i="36"/>
  <c r="Z104" i="36"/>
  <c r="X104" i="36"/>
  <c r="N104" i="36"/>
  <c r="L104" i="36"/>
  <c r="B104" i="36"/>
  <c r="Z103" i="36"/>
  <c r="T103" i="36"/>
  <c r="P103" i="36"/>
  <c r="X103" i="36" s="1"/>
  <c r="L103" i="36"/>
  <c r="H103" i="36"/>
  <c r="N103" i="36" s="1"/>
  <c r="D103" i="36"/>
  <c r="B103" i="36"/>
  <c r="Z102" i="36"/>
  <c r="X102" i="36"/>
  <c r="N102" i="36"/>
  <c r="L102" i="36"/>
  <c r="B102" i="36"/>
  <c r="X101" i="36"/>
  <c r="T101" i="36"/>
  <c r="Z101" i="36" s="1"/>
  <c r="P101" i="36"/>
  <c r="N101" i="36"/>
  <c r="L101" i="36"/>
  <c r="H101" i="36"/>
  <c r="D101" i="36"/>
  <c r="B101" i="36"/>
  <c r="X100" i="36"/>
  <c r="Z100" i="36" s="1"/>
  <c r="L100" i="36"/>
  <c r="N100" i="36" s="1"/>
  <c r="B100" i="36"/>
  <c r="Z99" i="36"/>
  <c r="X99" i="36"/>
  <c r="N99" i="36"/>
  <c r="L99" i="36"/>
  <c r="B99" i="36"/>
  <c r="T98" i="36"/>
  <c r="P98" i="36"/>
  <c r="X98" i="36" s="1"/>
  <c r="Z98" i="36" s="1"/>
  <c r="L98" i="36"/>
  <c r="N98" i="36" s="1"/>
  <c r="H98" i="36"/>
  <c r="D98" i="36"/>
  <c r="B98" i="36"/>
  <c r="X97" i="36"/>
  <c r="Z97" i="36" s="1"/>
  <c r="V97" i="36"/>
  <c r="L97" i="36"/>
  <c r="N97" i="36" s="1"/>
  <c r="B97" i="36"/>
  <c r="X96" i="36"/>
  <c r="Z96" i="36" s="1"/>
  <c r="L96" i="36"/>
  <c r="N96" i="36" s="1"/>
  <c r="B96" i="36"/>
  <c r="Z95" i="36"/>
  <c r="X95" i="36"/>
  <c r="N95" i="36"/>
  <c r="L95" i="36"/>
  <c r="B95" i="36"/>
  <c r="Z94" i="36"/>
  <c r="X94" i="36"/>
  <c r="N94" i="36"/>
  <c r="L94" i="36"/>
  <c r="B94" i="36"/>
  <c r="X93" i="36"/>
  <c r="Z93" i="36" s="1"/>
  <c r="L93" i="36"/>
  <c r="N93" i="36" s="1"/>
  <c r="J93" i="36"/>
  <c r="B93" i="36"/>
  <c r="X92" i="36"/>
  <c r="Z92" i="36" s="1"/>
  <c r="L92" i="36"/>
  <c r="N92" i="36" s="1"/>
  <c r="B92" i="36"/>
  <c r="Z91" i="36"/>
  <c r="X91" i="36"/>
  <c r="N91" i="36"/>
  <c r="L91" i="36"/>
  <c r="B91" i="36"/>
  <c r="Z90" i="36"/>
  <c r="X90" i="36"/>
  <c r="N90" i="36"/>
  <c r="L90" i="36"/>
  <c r="B90" i="36"/>
  <c r="X89" i="36"/>
  <c r="Z89" i="36" s="1"/>
  <c r="V89" i="36"/>
  <c r="L89" i="36"/>
  <c r="N89" i="36" s="1"/>
  <c r="B89" i="36"/>
  <c r="X88" i="36"/>
  <c r="Z88" i="36" s="1"/>
  <c r="L88" i="36"/>
  <c r="N88" i="36" s="1"/>
  <c r="B88" i="36"/>
  <c r="Z87" i="36"/>
  <c r="X87" i="36"/>
  <c r="T87" i="36"/>
  <c r="P87" i="36"/>
  <c r="J87" i="36"/>
  <c r="H87" i="36"/>
  <c r="D87" i="36"/>
  <c r="L87" i="36" s="1"/>
  <c r="B87" i="36"/>
  <c r="Z86" i="36"/>
  <c r="X86" i="36"/>
  <c r="N86" i="36"/>
  <c r="L86" i="36"/>
  <c r="B86" i="36"/>
  <c r="V85" i="36"/>
  <c r="T85" i="36"/>
  <c r="P85" i="36"/>
  <c r="X85" i="36" s="1"/>
  <c r="H85" i="36"/>
  <c r="D85" i="36"/>
  <c r="L85" i="36" s="1"/>
  <c r="N85" i="36" s="1"/>
  <c r="B85" i="36"/>
  <c r="X84" i="36"/>
  <c r="Z84" i="36" s="1"/>
  <c r="L84" i="36"/>
  <c r="N84" i="36" s="1"/>
  <c r="B84" i="36"/>
  <c r="Z83" i="36"/>
  <c r="X83" i="36"/>
  <c r="N83" i="36"/>
  <c r="L83" i="36"/>
  <c r="B83" i="36"/>
  <c r="Z82" i="36"/>
  <c r="X82" i="36"/>
  <c r="N82" i="36"/>
  <c r="L82" i="36"/>
  <c r="B82" i="36"/>
  <c r="X81" i="36"/>
  <c r="Z81" i="36" s="1"/>
  <c r="V81" i="36"/>
  <c r="L81" i="36"/>
  <c r="N81" i="36" s="1"/>
  <c r="B81" i="36"/>
  <c r="X80" i="36"/>
  <c r="Z80" i="36" s="1"/>
  <c r="L80" i="36"/>
  <c r="N80" i="36" s="1"/>
  <c r="B80" i="36"/>
  <c r="Z79" i="36"/>
  <c r="X79" i="36"/>
  <c r="T79" i="36"/>
  <c r="P79" i="36"/>
  <c r="J79" i="36"/>
  <c r="H79" i="36"/>
  <c r="D79" i="36"/>
  <c r="L79" i="36" s="1"/>
  <c r="B79" i="36"/>
  <c r="Z78" i="36"/>
  <c r="X78" i="36"/>
  <c r="N78" i="36"/>
  <c r="L78" i="36"/>
  <c r="B78" i="36"/>
  <c r="X77" i="36"/>
  <c r="Z77" i="36" s="1"/>
  <c r="V77" i="36"/>
  <c r="L77" i="36"/>
  <c r="N77" i="36" s="1"/>
  <c r="J77" i="36"/>
  <c r="B77" i="36"/>
  <c r="X76" i="36"/>
  <c r="Z76" i="36" s="1"/>
  <c r="L76" i="36"/>
  <c r="N76" i="36" s="1"/>
  <c r="B76" i="36"/>
  <c r="Z75" i="36"/>
  <c r="X75" i="36"/>
  <c r="T75" i="36"/>
  <c r="P75" i="36"/>
  <c r="J75" i="36"/>
  <c r="H75" i="36"/>
  <c r="D75" i="36"/>
  <c r="L75" i="36" s="1"/>
  <c r="B75" i="36"/>
  <c r="Z74" i="36"/>
  <c r="X74" i="36"/>
  <c r="N74" i="36"/>
  <c r="L74" i="36"/>
  <c r="B74" i="36"/>
  <c r="V73" i="36"/>
  <c r="T73" i="36"/>
  <c r="Z73" i="36" s="1"/>
  <c r="P73" i="36"/>
  <c r="X73" i="36" s="1"/>
  <c r="H73" i="36"/>
  <c r="D73" i="36"/>
  <c r="L73" i="36" s="1"/>
  <c r="N73" i="36" s="1"/>
  <c r="B73" i="36"/>
  <c r="X72" i="36"/>
  <c r="Z72" i="36" s="1"/>
  <c r="L72" i="36"/>
  <c r="N72" i="36" s="1"/>
  <c r="B72" i="36"/>
  <c r="T71" i="36"/>
  <c r="P71" i="36"/>
  <c r="X71" i="36" s="1"/>
  <c r="Z71" i="36" s="1"/>
  <c r="L71" i="36"/>
  <c r="J71" i="36"/>
  <c r="H71" i="36"/>
  <c r="N71" i="36" s="1"/>
  <c r="D71" i="36"/>
  <c r="B71" i="36"/>
  <c r="Z70" i="36"/>
  <c r="X70" i="36"/>
  <c r="N70" i="36"/>
  <c r="L70" i="36"/>
  <c r="B70" i="36"/>
  <c r="X69" i="36"/>
  <c r="V69" i="36"/>
  <c r="T69" i="36"/>
  <c r="Z69" i="36" s="1"/>
  <c r="P69" i="36"/>
  <c r="N69" i="36"/>
  <c r="L69" i="36"/>
  <c r="H69" i="36"/>
  <c r="D69" i="36"/>
  <c r="B69" i="36"/>
  <c r="X68" i="36"/>
  <c r="Z68" i="36" s="1"/>
  <c r="L68" i="36"/>
  <c r="N68" i="36" s="1"/>
  <c r="B68" i="36"/>
  <c r="Z67" i="36"/>
  <c r="X67" i="36"/>
  <c r="T67" i="36"/>
  <c r="P67" i="36"/>
  <c r="J67" i="36"/>
  <c r="H67" i="36"/>
  <c r="D67" i="36"/>
  <c r="L67" i="36" s="1"/>
  <c r="B67" i="36"/>
  <c r="Z66" i="36"/>
  <c r="X66" i="36"/>
  <c r="N66" i="36"/>
  <c r="L66" i="36"/>
  <c r="B66" i="36"/>
  <c r="V65" i="36"/>
  <c r="T65" i="36"/>
  <c r="Z65" i="36" s="1"/>
  <c r="P65" i="36"/>
  <c r="X65" i="36" s="1"/>
  <c r="H65" i="36"/>
  <c r="D65" i="36"/>
  <c r="L65" i="36" s="1"/>
  <c r="N65" i="36" s="1"/>
  <c r="B65" i="36"/>
  <c r="X64" i="36"/>
  <c r="Z64" i="36" s="1"/>
  <c r="L64" i="36"/>
  <c r="N64" i="36" s="1"/>
  <c r="B64" i="36"/>
  <c r="T63" i="36"/>
  <c r="P63" i="36"/>
  <c r="X63" i="36" s="1"/>
  <c r="Z63" i="36" s="1"/>
  <c r="L63" i="36"/>
  <c r="J63" i="36"/>
  <c r="H63" i="36"/>
  <c r="N63" i="36" s="1"/>
  <c r="D63" i="36"/>
  <c r="B63" i="36"/>
  <c r="Z62" i="36"/>
  <c r="X62" i="36"/>
  <c r="N62" i="36"/>
  <c r="L62" i="36"/>
  <c r="B62" i="36"/>
  <c r="X61" i="36"/>
  <c r="V61" i="36"/>
  <c r="T61" i="36"/>
  <c r="Z61" i="36" s="1"/>
  <c r="P61" i="36"/>
  <c r="N61" i="36"/>
  <c r="L61" i="36"/>
  <c r="H61" i="36"/>
  <c r="D61" i="36"/>
  <c r="B61" i="36"/>
  <c r="X60" i="36"/>
  <c r="Z60" i="36" s="1"/>
  <c r="L60" i="36"/>
  <c r="N60" i="36" s="1"/>
  <c r="B60" i="36"/>
  <c r="Z59" i="36"/>
  <c r="X59" i="36"/>
  <c r="T59" i="36"/>
  <c r="P59" i="36"/>
  <c r="J59" i="36"/>
  <c r="H59" i="36"/>
  <c r="D59" i="36"/>
  <c r="L59" i="36" s="1"/>
  <c r="B59" i="36"/>
  <c r="Z58" i="36"/>
  <c r="X58" i="36"/>
  <c r="N58" i="36"/>
  <c r="L58" i="36"/>
  <c r="B58" i="36"/>
  <c r="Z57" i="36"/>
  <c r="X57" i="36"/>
  <c r="V57" i="36"/>
  <c r="N57" i="36"/>
  <c r="L57" i="36"/>
  <c r="J57" i="36"/>
  <c r="B57" i="36"/>
  <c r="T56" i="36"/>
  <c r="P56" i="36"/>
  <c r="X56" i="36" s="1"/>
  <c r="Z56" i="36" s="1"/>
  <c r="H56" i="36"/>
  <c r="D56" i="36"/>
  <c r="B56" i="36"/>
  <c r="Z55" i="36"/>
  <c r="X55" i="36"/>
  <c r="N55" i="36"/>
  <c r="L55" i="36"/>
  <c r="B55" i="36"/>
  <c r="T54" i="36"/>
  <c r="P54" i="36"/>
  <c r="H54" i="36"/>
  <c r="D54" i="36"/>
  <c r="L54" i="36" s="1"/>
  <c r="N54" i="36" s="1"/>
  <c r="B54" i="36"/>
  <c r="X53" i="36"/>
  <c r="Z53" i="36" s="1"/>
  <c r="V53" i="36"/>
  <c r="L53" i="36"/>
  <c r="N53" i="36" s="1"/>
  <c r="J53" i="36"/>
  <c r="B53" i="36"/>
  <c r="X52" i="36"/>
  <c r="Z52" i="36" s="1"/>
  <c r="T52" i="36"/>
  <c r="P52" i="36"/>
  <c r="H52" i="36"/>
  <c r="D52" i="36"/>
  <c r="B52" i="36"/>
  <c r="Z51" i="36"/>
  <c r="X51" i="36"/>
  <c r="N51" i="36"/>
  <c r="L51" i="36"/>
  <c r="B51" i="36"/>
  <c r="T50" i="36"/>
  <c r="P50" i="36"/>
  <c r="L50" i="36"/>
  <c r="N50" i="36" s="1"/>
  <c r="H50" i="36"/>
  <c r="D50" i="36"/>
  <c r="B50" i="36"/>
  <c r="Z49" i="36"/>
  <c r="X49" i="36"/>
  <c r="V49" i="36"/>
  <c r="N49" i="36"/>
  <c r="L49" i="36"/>
  <c r="J49" i="36"/>
  <c r="B49" i="36"/>
  <c r="Z48" i="36"/>
  <c r="X48" i="36"/>
  <c r="N48" i="36"/>
  <c r="L48" i="36"/>
  <c r="B48" i="36"/>
  <c r="Z47" i="36"/>
  <c r="X47" i="36"/>
  <c r="N47" i="36"/>
  <c r="L47" i="36"/>
  <c r="B47" i="36"/>
  <c r="Z46" i="36"/>
  <c r="X46" i="36"/>
  <c r="N46" i="36"/>
  <c r="L46" i="36"/>
  <c r="B46" i="36"/>
  <c r="Z45" i="36"/>
  <c r="X45" i="36"/>
  <c r="V45" i="36"/>
  <c r="N45" i="36"/>
  <c r="L45" i="36"/>
  <c r="J45" i="36"/>
  <c r="B45" i="36"/>
  <c r="X44" i="36"/>
  <c r="Z44" i="36" s="1"/>
  <c r="L44" i="36"/>
  <c r="N44" i="36" s="1"/>
  <c r="B44" i="36"/>
  <c r="Z43" i="36"/>
  <c r="X43" i="36"/>
  <c r="N43" i="36"/>
  <c r="L43" i="36"/>
  <c r="B43" i="36"/>
  <c r="Z42" i="36"/>
  <c r="X42" i="36"/>
  <c r="N42" i="36"/>
  <c r="L42" i="36"/>
  <c r="B42" i="36"/>
  <c r="X41" i="36"/>
  <c r="Z41" i="36" s="1"/>
  <c r="V41" i="36"/>
  <c r="L41" i="36"/>
  <c r="N41" i="36" s="1"/>
  <c r="J41" i="36"/>
  <c r="B41" i="36"/>
  <c r="X40" i="36"/>
  <c r="Z40" i="36" s="1"/>
  <c r="L40" i="36"/>
  <c r="N40" i="36" s="1"/>
  <c r="B40" i="36"/>
  <c r="Z39" i="36"/>
  <c r="X39" i="36"/>
  <c r="T39" i="36"/>
  <c r="P39" i="36"/>
  <c r="J39" i="36"/>
  <c r="H39" i="36"/>
  <c r="N39" i="36" s="1"/>
  <c r="D39" i="36"/>
  <c r="L39" i="36" s="1"/>
  <c r="B39" i="36"/>
  <c r="Z38" i="36"/>
  <c r="X38" i="36"/>
  <c r="N38" i="36"/>
  <c r="L38" i="36"/>
  <c r="B38" i="36"/>
  <c r="X37" i="36"/>
  <c r="Z37" i="36" s="1"/>
  <c r="V37" i="36"/>
  <c r="L37" i="36"/>
  <c r="N37" i="36" s="1"/>
  <c r="J37" i="36"/>
  <c r="B37" i="36"/>
  <c r="X36" i="36"/>
  <c r="Z36" i="36" s="1"/>
  <c r="L36" i="36"/>
  <c r="N36" i="36" s="1"/>
  <c r="B36" i="36"/>
  <c r="Z35" i="36"/>
  <c r="X35" i="36"/>
  <c r="N35" i="36"/>
  <c r="L35" i="36"/>
  <c r="B35" i="36"/>
  <c r="Z34" i="36"/>
  <c r="X34" i="36"/>
  <c r="N34" i="36"/>
  <c r="L34" i="36"/>
  <c r="B34" i="36"/>
  <c r="X33" i="36"/>
  <c r="Z33" i="36" s="1"/>
  <c r="V33" i="36"/>
  <c r="L33" i="36"/>
  <c r="N33" i="36" s="1"/>
  <c r="J33" i="36"/>
  <c r="B33" i="36"/>
  <c r="X32" i="36"/>
  <c r="Z32" i="36" s="1"/>
  <c r="L32" i="36"/>
  <c r="N32" i="36" s="1"/>
  <c r="B32" i="36"/>
  <c r="Z31" i="36"/>
  <c r="X31" i="36"/>
  <c r="N31" i="36"/>
  <c r="L31" i="36"/>
  <c r="B31" i="36"/>
  <c r="Z30" i="36"/>
  <c r="X30" i="36"/>
  <c r="N30" i="36"/>
  <c r="L30" i="36"/>
  <c r="B30" i="36"/>
  <c r="X29" i="36"/>
  <c r="Z29" i="36" s="1"/>
  <c r="V29" i="36"/>
  <c r="L29" i="36"/>
  <c r="N29" i="36" s="1"/>
  <c r="J29" i="36"/>
  <c r="B29" i="36"/>
  <c r="X28" i="36"/>
  <c r="Z28" i="36" s="1"/>
  <c r="T28" i="36"/>
  <c r="P28" i="36"/>
  <c r="H28" i="36"/>
  <c r="D28" i="36"/>
  <c r="L28" i="36" s="1"/>
  <c r="B28" i="36"/>
  <c r="Z27" i="36"/>
  <c r="T27" i="36"/>
  <c r="P27" i="36"/>
  <c r="X27" i="36" s="1"/>
  <c r="J27" i="36"/>
  <c r="H27" i="36"/>
  <c r="D27" i="36"/>
  <c r="L27" i="36" s="1"/>
  <c r="Z23" i="36"/>
  <c r="X23" i="36"/>
  <c r="N23" i="36"/>
  <c r="L23" i="36"/>
  <c r="B23" i="36"/>
  <c r="Z22" i="36"/>
  <c r="X22" i="36"/>
  <c r="N22" i="36"/>
  <c r="L22" i="36"/>
  <c r="B22" i="36"/>
  <c r="X21" i="36"/>
  <c r="Z21" i="36" s="1"/>
  <c r="V21" i="36"/>
  <c r="R21" i="36"/>
  <c r="L21" i="36"/>
  <c r="N21" i="36" s="1"/>
  <c r="J21" i="36"/>
  <c r="B21" i="36"/>
  <c r="V20" i="36"/>
  <c r="T20" i="36"/>
  <c r="P20" i="36"/>
  <c r="X20" i="36" s="1"/>
  <c r="Z20" i="36" s="1"/>
  <c r="H20" i="36"/>
  <c r="D20" i="36"/>
  <c r="Z18" i="36"/>
  <c r="X18" i="36"/>
  <c r="P18" i="36"/>
  <c r="N18" i="36"/>
  <c r="D18" i="36"/>
  <c r="L18" i="36" s="1"/>
  <c r="B18" i="36"/>
  <c r="Z17" i="36"/>
  <c r="P17" i="36"/>
  <c r="X17" i="36" s="1"/>
  <c r="N17" i="36"/>
  <c r="D17" i="36"/>
  <c r="L17" i="36" s="1"/>
  <c r="B17" i="36"/>
  <c r="P16" i="36"/>
  <c r="X16" i="36" s="1"/>
  <c r="Z16" i="36" s="1"/>
  <c r="N16" i="36"/>
  <c r="L16" i="36"/>
  <c r="D16" i="36"/>
  <c r="B16" i="36"/>
  <c r="Z15" i="36"/>
  <c r="X15" i="36"/>
  <c r="P15" i="36"/>
  <c r="N15" i="36"/>
  <c r="L15" i="36"/>
  <c r="D15" i="36"/>
  <c r="B15" i="36"/>
  <c r="Z14" i="36"/>
  <c r="X14" i="36"/>
  <c r="P14" i="36"/>
  <c r="N14" i="36"/>
  <c r="D14" i="36"/>
  <c r="B14" i="36"/>
  <c r="P13" i="36"/>
  <c r="X13" i="36" s="1"/>
  <c r="Z13" i="36" s="1"/>
  <c r="D13" i="36"/>
  <c r="L13" i="36" s="1"/>
  <c r="N13" i="36" s="1"/>
  <c r="B13" i="36"/>
  <c r="T12" i="36"/>
  <c r="P12" i="36"/>
  <c r="R86" i="36" s="1"/>
  <c r="H12" i="36"/>
  <c r="J115" i="36" s="1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18" i="35" s="1"/>
  <c r="P12" i="35"/>
  <c r="R22" i="35" s="1"/>
  <c r="H12" i="35"/>
  <c r="J21" i="35" s="1"/>
  <c r="D12" i="35"/>
  <c r="D5" i="35"/>
  <c r="D4" i="35"/>
  <c r="B39" i="34"/>
  <c r="B38" i="34"/>
  <c r="T34" i="34"/>
  <c r="P34" i="34"/>
  <c r="H34" i="34"/>
  <c r="N34" i="34" s="1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Z20" i="34" s="1"/>
  <c r="P20" i="34"/>
  <c r="H20" i="34"/>
  <c r="N20" i="34" s="1"/>
  <c r="D20" i="34"/>
  <c r="T16" i="34"/>
  <c r="P16" i="34"/>
  <c r="H16" i="34"/>
  <c r="N16" i="34" s="1"/>
  <c r="D16" i="34"/>
  <c r="B16" i="34"/>
  <c r="T15" i="34"/>
  <c r="Z15" i="34" s="1"/>
  <c r="P15" i="34"/>
  <c r="H15" i="34"/>
  <c r="N15" i="34" s="1"/>
  <c r="D15" i="34"/>
  <c r="T13" i="34"/>
  <c r="Z13" i="34" s="1"/>
  <c r="P13" i="34"/>
  <c r="H13" i="34"/>
  <c r="N13" i="34" s="1"/>
  <c r="D13" i="34"/>
  <c r="B13" i="34"/>
  <c r="T12" i="34"/>
  <c r="V36" i="34" s="1"/>
  <c r="P12" i="34"/>
  <c r="R31" i="34" s="1"/>
  <c r="H12" i="34"/>
  <c r="J15" i="34" s="1"/>
  <c r="D12" i="34"/>
  <c r="F21" i="34" s="1"/>
  <c r="D5" i="34"/>
  <c r="D4" i="34"/>
  <c r="X73" i="33"/>
  <c r="Z73" i="33" s="1"/>
  <c r="L73" i="33"/>
  <c r="N73" i="33" s="1"/>
  <c r="H71" i="33"/>
  <c r="P69" i="33"/>
  <c r="P68" i="33" s="1"/>
  <c r="X68" i="33" s="1"/>
  <c r="N69" i="33"/>
  <c r="L69" i="33"/>
  <c r="D69" i="33"/>
  <c r="B69" i="33"/>
  <c r="V68" i="33"/>
  <c r="T68" i="33"/>
  <c r="H68" i="33"/>
  <c r="N68" i="33" s="1"/>
  <c r="D68" i="33"/>
  <c r="L68" i="33" s="1"/>
  <c r="Z66" i="33"/>
  <c r="X66" i="33"/>
  <c r="L66" i="33"/>
  <c r="N66" i="33" s="1"/>
  <c r="J66" i="33"/>
  <c r="B66" i="33"/>
  <c r="T65" i="33"/>
  <c r="P65" i="33"/>
  <c r="X65" i="33" s="1"/>
  <c r="Z65" i="33" s="1"/>
  <c r="N65" i="33"/>
  <c r="L65" i="33"/>
  <c r="H65" i="33"/>
  <c r="D65" i="33"/>
  <c r="B65" i="33"/>
  <c r="Z64" i="33"/>
  <c r="X64" i="33"/>
  <c r="N64" i="33"/>
  <c r="L64" i="33"/>
  <c r="B64" i="33"/>
  <c r="Z63" i="33"/>
  <c r="X63" i="33"/>
  <c r="N63" i="33"/>
  <c r="L63" i="33"/>
  <c r="F63" i="33"/>
  <c r="B63" i="33"/>
  <c r="Z62" i="33"/>
  <c r="X62" i="33"/>
  <c r="L62" i="33"/>
  <c r="N62" i="33" s="1"/>
  <c r="J62" i="33"/>
  <c r="B62" i="33"/>
  <c r="Z61" i="33"/>
  <c r="X61" i="33"/>
  <c r="N61" i="33"/>
  <c r="L61" i="33"/>
  <c r="B61" i="33"/>
  <c r="T60" i="33"/>
  <c r="P60" i="33"/>
  <c r="X60" i="33" s="1"/>
  <c r="H60" i="33"/>
  <c r="D60" i="33"/>
  <c r="L60" i="33" s="1"/>
  <c r="B60" i="33"/>
  <c r="Z59" i="33"/>
  <c r="X59" i="33"/>
  <c r="N59" i="33"/>
  <c r="L59" i="33"/>
  <c r="B59" i="33"/>
  <c r="T58" i="33"/>
  <c r="Z58" i="33" s="1"/>
  <c r="P58" i="33"/>
  <c r="X58" i="33" s="1"/>
  <c r="N58" i="33"/>
  <c r="L58" i="33"/>
  <c r="H58" i="33"/>
  <c r="D58" i="33"/>
  <c r="B58" i="33"/>
  <c r="Z57" i="33"/>
  <c r="X57" i="33"/>
  <c r="N57" i="33"/>
  <c r="L57" i="33"/>
  <c r="B57" i="33"/>
  <c r="Z56" i="33"/>
  <c r="X56" i="33"/>
  <c r="L56" i="33"/>
  <c r="N56" i="33" s="1"/>
  <c r="B56" i="33"/>
  <c r="Z55" i="33"/>
  <c r="X55" i="33"/>
  <c r="T55" i="33"/>
  <c r="P55" i="33"/>
  <c r="L55" i="33"/>
  <c r="N55" i="33" s="1"/>
  <c r="H55" i="33"/>
  <c r="D55" i="33"/>
  <c r="B55" i="33"/>
  <c r="X54" i="33"/>
  <c r="Z54" i="33" s="1"/>
  <c r="V54" i="33"/>
  <c r="N54" i="33"/>
  <c r="L54" i="33"/>
  <c r="B54" i="33"/>
  <c r="X53" i="33"/>
  <c r="Z53" i="33" s="1"/>
  <c r="L53" i="33"/>
  <c r="N53" i="33" s="1"/>
  <c r="B53" i="33"/>
  <c r="Z52" i="33"/>
  <c r="X52" i="33"/>
  <c r="T52" i="33"/>
  <c r="P52" i="33"/>
  <c r="L52" i="33"/>
  <c r="J52" i="33"/>
  <c r="H52" i="33"/>
  <c r="N52" i="33" s="1"/>
  <c r="D52" i="33"/>
  <c r="B52" i="33"/>
  <c r="Z51" i="33"/>
  <c r="X51" i="33"/>
  <c r="N51" i="33"/>
  <c r="L51" i="33"/>
  <c r="B51" i="33"/>
  <c r="V50" i="33"/>
  <c r="T50" i="33"/>
  <c r="P50" i="33"/>
  <c r="H50" i="33"/>
  <c r="D50" i="33"/>
  <c r="L50" i="33" s="1"/>
  <c r="B50" i="33"/>
  <c r="X49" i="33"/>
  <c r="Z49" i="33" s="1"/>
  <c r="L49" i="33"/>
  <c r="N49" i="33" s="1"/>
  <c r="B49" i="33"/>
  <c r="T48" i="33"/>
  <c r="P48" i="33"/>
  <c r="X48" i="33" s="1"/>
  <c r="H48" i="33"/>
  <c r="D48" i="33"/>
  <c r="L48" i="33" s="1"/>
  <c r="B48" i="33"/>
  <c r="Z47" i="33"/>
  <c r="X47" i="33"/>
  <c r="N47" i="33"/>
  <c r="L47" i="33"/>
  <c r="B47" i="33"/>
  <c r="T46" i="33"/>
  <c r="Z46" i="33" s="1"/>
  <c r="P46" i="33"/>
  <c r="X46" i="33" s="1"/>
  <c r="N46" i="33"/>
  <c r="L46" i="33"/>
  <c r="H46" i="33"/>
  <c r="D46" i="33"/>
  <c r="B46" i="33"/>
  <c r="Z45" i="33"/>
  <c r="X45" i="33"/>
  <c r="N45" i="33"/>
  <c r="L45" i="33"/>
  <c r="B45" i="33"/>
  <c r="Z44" i="33"/>
  <c r="X44" i="33"/>
  <c r="N44" i="33"/>
  <c r="L44" i="33"/>
  <c r="B44" i="33"/>
  <c r="Z43" i="33"/>
  <c r="X43" i="33"/>
  <c r="N43" i="33"/>
  <c r="L43" i="33"/>
  <c r="B43" i="33"/>
  <c r="Z42" i="33"/>
  <c r="X42" i="33"/>
  <c r="L42" i="33"/>
  <c r="N42" i="33" s="1"/>
  <c r="J42" i="33"/>
  <c r="B42" i="33"/>
  <c r="Z41" i="33"/>
  <c r="X41" i="33"/>
  <c r="N41" i="33"/>
  <c r="L41" i="33"/>
  <c r="B41" i="33"/>
  <c r="Z40" i="33"/>
  <c r="X40" i="33"/>
  <c r="N40" i="33"/>
  <c r="L40" i="33"/>
  <c r="B40" i="33"/>
  <c r="Z39" i="33"/>
  <c r="X39" i="33"/>
  <c r="N39" i="33"/>
  <c r="L39" i="33"/>
  <c r="B39" i="33"/>
  <c r="Z38" i="33"/>
  <c r="X38" i="33"/>
  <c r="V38" i="33"/>
  <c r="N38" i="33"/>
  <c r="L38" i="33"/>
  <c r="B38" i="33"/>
  <c r="X37" i="33"/>
  <c r="Z37" i="33" s="1"/>
  <c r="N37" i="33"/>
  <c r="L37" i="33"/>
  <c r="B37" i="33"/>
  <c r="Z36" i="33"/>
  <c r="X36" i="33"/>
  <c r="N36" i="33"/>
  <c r="L36" i="33"/>
  <c r="B36" i="33"/>
  <c r="T35" i="33"/>
  <c r="P35" i="33"/>
  <c r="X35" i="33" s="1"/>
  <c r="Z35" i="33" s="1"/>
  <c r="L35" i="33"/>
  <c r="N35" i="33" s="1"/>
  <c r="H35" i="33"/>
  <c r="D35" i="33"/>
  <c r="B35" i="33"/>
  <c r="X34" i="33"/>
  <c r="Z34" i="33" s="1"/>
  <c r="V34" i="33"/>
  <c r="N34" i="33"/>
  <c r="L34" i="33"/>
  <c r="B34" i="33"/>
  <c r="X33" i="33"/>
  <c r="Z33" i="33" s="1"/>
  <c r="L33" i="33"/>
  <c r="N33" i="33" s="1"/>
  <c r="B33" i="33"/>
  <c r="Z32" i="33"/>
  <c r="X32" i="33"/>
  <c r="L32" i="33"/>
  <c r="N32" i="33" s="1"/>
  <c r="B32" i="33"/>
  <c r="Z31" i="33"/>
  <c r="X31" i="33"/>
  <c r="N31" i="33"/>
  <c r="L31" i="33"/>
  <c r="J31" i="33"/>
  <c r="B31" i="33"/>
  <c r="Z30" i="33"/>
  <c r="X30" i="33"/>
  <c r="L30" i="33"/>
  <c r="N30" i="33" s="1"/>
  <c r="J30" i="33"/>
  <c r="B30" i="33"/>
  <c r="X29" i="33"/>
  <c r="Z29" i="33" s="1"/>
  <c r="L29" i="33"/>
  <c r="N29" i="33" s="1"/>
  <c r="J29" i="33"/>
  <c r="B29" i="33"/>
  <c r="X28" i="33"/>
  <c r="Z28" i="33" s="1"/>
  <c r="N28" i="33"/>
  <c r="L28" i="33"/>
  <c r="B28" i="33"/>
  <c r="Z27" i="33"/>
  <c r="X27" i="33"/>
  <c r="V27" i="33"/>
  <c r="N27" i="33"/>
  <c r="L27" i="33"/>
  <c r="B27" i="33"/>
  <c r="X26" i="33"/>
  <c r="Z26" i="33" s="1"/>
  <c r="V26" i="33"/>
  <c r="N26" i="33"/>
  <c r="L26" i="33"/>
  <c r="B26" i="33"/>
  <c r="X25" i="33"/>
  <c r="Z25" i="33" s="1"/>
  <c r="V25" i="33"/>
  <c r="T25" i="33"/>
  <c r="P25" i="33"/>
  <c r="H25" i="33"/>
  <c r="D25" i="33"/>
  <c r="B25" i="33"/>
  <c r="T24" i="33"/>
  <c r="P24" i="33"/>
  <c r="X24" i="33" s="1"/>
  <c r="H24" i="33"/>
  <c r="D24" i="33"/>
  <c r="L24" i="33" s="1"/>
  <c r="J22" i="33"/>
  <c r="H22" i="33"/>
  <c r="Z20" i="33"/>
  <c r="X20" i="33"/>
  <c r="N20" i="33"/>
  <c r="L20" i="33"/>
  <c r="B20" i="33"/>
  <c r="T19" i="33"/>
  <c r="P19" i="33"/>
  <c r="J19" i="33"/>
  <c r="H19" i="33"/>
  <c r="N19" i="33" s="1"/>
  <c r="D19" i="33"/>
  <c r="L19" i="33" s="1"/>
  <c r="Z17" i="33"/>
  <c r="X17" i="33"/>
  <c r="P17" i="33"/>
  <c r="N17" i="33"/>
  <c r="L17" i="33"/>
  <c r="D17" i="33"/>
  <c r="B17" i="33"/>
  <c r="Z16" i="33"/>
  <c r="X16" i="33"/>
  <c r="P16" i="33"/>
  <c r="N16" i="33"/>
  <c r="D16" i="33"/>
  <c r="D12" i="33" s="1"/>
  <c r="F31" i="33" s="1"/>
  <c r="B16" i="33"/>
  <c r="Z15" i="33"/>
  <c r="X15" i="33"/>
  <c r="P15" i="33"/>
  <c r="N15" i="33"/>
  <c r="D15" i="33"/>
  <c r="L15" i="33" s="1"/>
  <c r="B15" i="33"/>
  <c r="P14" i="33"/>
  <c r="N14" i="33"/>
  <c r="L14" i="33"/>
  <c r="D14" i="33"/>
  <c r="B14" i="33"/>
  <c r="P13" i="33"/>
  <c r="X13" i="33" s="1"/>
  <c r="Z13" i="33" s="1"/>
  <c r="N13" i="33"/>
  <c r="L13" i="33"/>
  <c r="D13" i="33"/>
  <c r="B13" i="33"/>
  <c r="T12" i="33"/>
  <c r="V51" i="33" s="1"/>
  <c r="H12" i="33"/>
  <c r="J69" i="33" s="1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D15" i="32"/>
  <c r="T13" i="32"/>
  <c r="Z13" i="32" s="1"/>
  <c r="P13" i="32"/>
  <c r="H13" i="32"/>
  <c r="N13" i="32" s="1"/>
  <c r="D13" i="32"/>
  <c r="B13" i="32"/>
  <c r="T12" i="32"/>
  <c r="V22" i="32" s="1"/>
  <c r="P12" i="32"/>
  <c r="R18" i="32" s="1"/>
  <c r="H12" i="32"/>
  <c r="J20" i="32" s="1"/>
  <c r="D12" i="32"/>
  <c r="F22" i="32" s="1"/>
  <c r="D5" i="32"/>
  <c r="D4" i="32"/>
  <c r="B39" i="31"/>
  <c r="B38" i="31"/>
  <c r="T34" i="31"/>
  <c r="Z34" i="31" s="1"/>
  <c r="P34" i="31"/>
  <c r="H34" i="31"/>
  <c r="N34" i="31" s="1"/>
  <c r="D34" i="31"/>
  <c r="T33" i="31"/>
  <c r="Z33" i="31" s="1"/>
  <c r="P33" i="31"/>
  <c r="H33" i="31"/>
  <c r="N33" i="31" s="1"/>
  <c r="D33" i="31"/>
  <c r="T29" i="31"/>
  <c r="Z29" i="31" s="1"/>
  <c r="P29" i="31"/>
  <c r="H29" i="31"/>
  <c r="N29" i="31" s="1"/>
  <c r="D29" i="31"/>
  <c r="T25" i="31"/>
  <c r="Z25" i="31" s="1"/>
  <c r="P25" i="31"/>
  <c r="H25" i="31"/>
  <c r="N25" i="31" s="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Z21" i="31" s="1"/>
  <c r="P21" i="31"/>
  <c r="H21" i="31"/>
  <c r="N21" i="31" s="1"/>
  <c r="D21" i="31"/>
  <c r="B21" i="31"/>
  <c r="T20" i="31"/>
  <c r="Z20" i="31" s="1"/>
  <c r="P20" i="31"/>
  <c r="H20" i="31"/>
  <c r="N20" i="31" s="1"/>
  <c r="D20" i="31"/>
  <c r="T16" i="31"/>
  <c r="Z16" i="31" s="1"/>
  <c r="P16" i="31"/>
  <c r="H16" i="31"/>
  <c r="N16" i="31" s="1"/>
  <c r="D16" i="31"/>
  <c r="B16" i="31"/>
  <c r="T15" i="31"/>
  <c r="Z15" i="31" s="1"/>
  <c r="P15" i="31"/>
  <c r="H15" i="31"/>
  <c r="N15" i="31" s="1"/>
  <c r="D15" i="31"/>
  <c r="T13" i="31"/>
  <c r="Z13" i="31" s="1"/>
  <c r="P13" i="31"/>
  <c r="H13" i="31"/>
  <c r="N13" i="31" s="1"/>
  <c r="D13" i="31"/>
  <c r="B13" i="31"/>
  <c r="T12" i="31"/>
  <c r="V36" i="31" s="1"/>
  <c r="P12" i="31"/>
  <c r="R34" i="31" s="1"/>
  <c r="H12" i="31"/>
  <c r="J20" i="31" s="1"/>
  <c r="D12" i="31"/>
  <c r="F36" i="31" s="1"/>
  <c r="D5" i="31"/>
  <c r="D4" i="31"/>
  <c r="X120" i="30"/>
  <c r="Z120" i="30" s="1"/>
  <c r="N120" i="30"/>
  <c r="L120" i="30"/>
  <c r="Z116" i="30"/>
  <c r="P116" i="30"/>
  <c r="X116" i="30" s="1"/>
  <c r="N116" i="30"/>
  <c r="D116" i="30"/>
  <c r="L116" i="30" s="1"/>
  <c r="B116" i="30"/>
  <c r="Z115" i="30"/>
  <c r="X115" i="30"/>
  <c r="V115" i="30"/>
  <c r="P115" i="30"/>
  <c r="N115" i="30"/>
  <c r="D115" i="30"/>
  <c r="L115" i="30" s="1"/>
  <c r="B115" i="30"/>
  <c r="P114" i="30"/>
  <c r="X114" i="30" s="1"/>
  <c r="Z114" i="30" s="1"/>
  <c r="N114" i="30"/>
  <c r="L114" i="30"/>
  <c r="J114" i="30"/>
  <c r="D114" i="30"/>
  <c r="B114" i="30"/>
  <c r="T113" i="30"/>
  <c r="H113" i="30"/>
  <c r="N113" i="30" s="1"/>
  <c r="D113" i="30"/>
  <c r="L113" i="30" s="1"/>
  <c r="Z111" i="30"/>
  <c r="X111" i="30"/>
  <c r="L111" i="30"/>
  <c r="N111" i="30" s="1"/>
  <c r="B111" i="30"/>
  <c r="T110" i="30"/>
  <c r="Z110" i="30" s="1"/>
  <c r="P110" i="30"/>
  <c r="X110" i="30" s="1"/>
  <c r="L110" i="30"/>
  <c r="N110" i="30" s="1"/>
  <c r="H110" i="30"/>
  <c r="D110" i="30"/>
  <c r="B110" i="30"/>
  <c r="X109" i="30"/>
  <c r="Z109" i="30" s="1"/>
  <c r="V109" i="30"/>
  <c r="L109" i="30"/>
  <c r="N109" i="30" s="1"/>
  <c r="B109" i="30"/>
  <c r="X108" i="30"/>
  <c r="Z108" i="30" s="1"/>
  <c r="N108" i="30"/>
  <c r="L108" i="30"/>
  <c r="B108" i="30"/>
  <c r="T107" i="30"/>
  <c r="P107" i="30"/>
  <c r="X107" i="30" s="1"/>
  <c r="Z107" i="30" s="1"/>
  <c r="L107" i="30"/>
  <c r="N107" i="30" s="1"/>
  <c r="J107" i="30"/>
  <c r="H107" i="30"/>
  <c r="D107" i="30"/>
  <c r="B107" i="30"/>
  <c r="Z106" i="30"/>
  <c r="X106" i="30"/>
  <c r="N106" i="30"/>
  <c r="L106" i="30"/>
  <c r="B106" i="30"/>
  <c r="X105" i="30"/>
  <c r="Z105" i="30" s="1"/>
  <c r="V105" i="30"/>
  <c r="T105" i="30"/>
  <c r="P105" i="30"/>
  <c r="H105" i="30"/>
  <c r="D105" i="30"/>
  <c r="B105" i="30"/>
  <c r="Z104" i="30"/>
  <c r="X104" i="30"/>
  <c r="L104" i="30"/>
  <c r="N104" i="30" s="1"/>
  <c r="B104" i="30"/>
  <c r="X103" i="30"/>
  <c r="Z103" i="30" s="1"/>
  <c r="N103" i="30"/>
  <c r="L103" i="30"/>
  <c r="B103" i="30"/>
  <c r="Z102" i="30"/>
  <c r="X102" i="30"/>
  <c r="N102" i="30"/>
  <c r="L102" i="30"/>
  <c r="B102" i="30"/>
  <c r="Z101" i="30"/>
  <c r="X101" i="30"/>
  <c r="V101" i="30"/>
  <c r="N101" i="30"/>
  <c r="L101" i="30"/>
  <c r="B101" i="30"/>
  <c r="X100" i="30"/>
  <c r="Z100" i="30" s="1"/>
  <c r="T100" i="30"/>
  <c r="P100" i="30"/>
  <c r="H100" i="30"/>
  <c r="D100" i="30"/>
  <c r="B100" i="30"/>
  <c r="X99" i="30"/>
  <c r="Z99" i="30" s="1"/>
  <c r="N99" i="30"/>
  <c r="L99" i="30"/>
  <c r="B99" i="30"/>
  <c r="Z98" i="30"/>
  <c r="X98" i="30"/>
  <c r="N98" i="30"/>
  <c r="L98" i="30"/>
  <c r="B98" i="30"/>
  <c r="X97" i="30"/>
  <c r="Z97" i="30" s="1"/>
  <c r="V97" i="30"/>
  <c r="T97" i="30"/>
  <c r="P97" i="30"/>
  <c r="H97" i="30"/>
  <c r="D97" i="30"/>
  <c r="B97" i="30"/>
  <c r="Z96" i="30"/>
  <c r="X96" i="30"/>
  <c r="N96" i="30"/>
  <c r="L96" i="30"/>
  <c r="B96" i="30"/>
  <c r="X95" i="30"/>
  <c r="Z95" i="30" s="1"/>
  <c r="N95" i="30"/>
  <c r="L95" i="30"/>
  <c r="B95" i="30"/>
  <c r="T94" i="30"/>
  <c r="P94" i="30"/>
  <c r="H94" i="30"/>
  <c r="D94" i="30"/>
  <c r="L94" i="30" s="1"/>
  <c r="B94" i="30"/>
  <c r="Z93" i="30"/>
  <c r="X93" i="30"/>
  <c r="N93" i="30"/>
  <c r="L93" i="30"/>
  <c r="J93" i="30"/>
  <c r="B93" i="30"/>
  <c r="Z92" i="30"/>
  <c r="X92" i="30"/>
  <c r="N92" i="30"/>
  <c r="L92" i="30"/>
  <c r="B92" i="30"/>
  <c r="X91" i="30"/>
  <c r="Z91" i="30" s="1"/>
  <c r="N91" i="30"/>
  <c r="L91" i="30"/>
  <c r="B91" i="30"/>
  <c r="T90" i="30"/>
  <c r="P90" i="30"/>
  <c r="H90" i="30"/>
  <c r="D90" i="30"/>
  <c r="L90" i="30" s="1"/>
  <c r="N90" i="30" s="1"/>
  <c r="B90" i="30"/>
  <c r="Z89" i="30"/>
  <c r="X89" i="30"/>
  <c r="N89" i="30"/>
  <c r="L89" i="30"/>
  <c r="J89" i="30"/>
  <c r="B89" i="30"/>
  <c r="X88" i="30"/>
  <c r="Z88" i="30" s="1"/>
  <c r="L88" i="30"/>
  <c r="N88" i="30" s="1"/>
  <c r="B88" i="30"/>
  <c r="T87" i="30"/>
  <c r="P87" i="30"/>
  <c r="H87" i="30"/>
  <c r="D87" i="30"/>
  <c r="L87" i="30" s="1"/>
  <c r="B87" i="30"/>
  <c r="X86" i="30"/>
  <c r="Z86" i="30" s="1"/>
  <c r="N86" i="30"/>
  <c r="L86" i="30"/>
  <c r="B86" i="30"/>
  <c r="T85" i="30"/>
  <c r="P85" i="30"/>
  <c r="X85" i="30" s="1"/>
  <c r="H85" i="30"/>
  <c r="D85" i="30"/>
  <c r="L85" i="30" s="1"/>
  <c r="N85" i="30" s="1"/>
  <c r="B85" i="30"/>
  <c r="X84" i="30"/>
  <c r="Z84" i="30" s="1"/>
  <c r="N84" i="30"/>
  <c r="L84" i="30"/>
  <c r="B84" i="30"/>
  <c r="T83" i="30"/>
  <c r="P83" i="30"/>
  <c r="X83" i="30" s="1"/>
  <c r="Z83" i="30" s="1"/>
  <c r="N83" i="30"/>
  <c r="L83" i="30"/>
  <c r="J83" i="30"/>
  <c r="H83" i="30"/>
  <c r="D83" i="30"/>
  <c r="B83" i="30"/>
  <c r="Z82" i="30"/>
  <c r="X82" i="30"/>
  <c r="L82" i="30"/>
  <c r="N82" i="30" s="1"/>
  <c r="B82" i="30"/>
  <c r="X81" i="30"/>
  <c r="Z81" i="30" s="1"/>
  <c r="V81" i="30"/>
  <c r="T81" i="30"/>
  <c r="P81" i="30"/>
  <c r="H81" i="30"/>
  <c r="D81" i="30"/>
  <c r="B81" i="30"/>
  <c r="Z80" i="30"/>
  <c r="X80" i="30"/>
  <c r="L80" i="30"/>
  <c r="N80" i="30" s="1"/>
  <c r="B80" i="30"/>
  <c r="T79" i="30"/>
  <c r="P79" i="30"/>
  <c r="H79" i="30"/>
  <c r="N79" i="30" s="1"/>
  <c r="D79" i="30"/>
  <c r="L79" i="30" s="1"/>
  <c r="B79" i="30"/>
  <c r="Z78" i="30"/>
  <c r="X78" i="30"/>
  <c r="N78" i="30"/>
  <c r="L78" i="30"/>
  <c r="B78" i="30"/>
  <c r="X77" i="30"/>
  <c r="Z77" i="30" s="1"/>
  <c r="N77" i="30"/>
  <c r="L77" i="30"/>
  <c r="J77" i="30"/>
  <c r="B77" i="30"/>
  <c r="T76" i="30"/>
  <c r="P76" i="30"/>
  <c r="X76" i="30" s="1"/>
  <c r="Z76" i="30" s="1"/>
  <c r="H76" i="30"/>
  <c r="N76" i="30" s="1"/>
  <c r="D76" i="30"/>
  <c r="L76" i="30" s="1"/>
  <c r="B76" i="30"/>
  <c r="Z75" i="30"/>
  <c r="X75" i="30"/>
  <c r="N75" i="30"/>
  <c r="L75" i="30"/>
  <c r="B75" i="30"/>
  <c r="Z74" i="30"/>
  <c r="X74" i="30"/>
  <c r="N74" i="30"/>
  <c r="L74" i="30"/>
  <c r="B74" i="30"/>
  <c r="T73" i="30"/>
  <c r="P73" i="30"/>
  <c r="X73" i="30" s="1"/>
  <c r="H73" i="30"/>
  <c r="D73" i="30"/>
  <c r="L73" i="30" s="1"/>
  <c r="N73" i="30" s="1"/>
  <c r="B73" i="30"/>
  <c r="X72" i="30"/>
  <c r="Z72" i="30" s="1"/>
  <c r="N72" i="30"/>
  <c r="L72" i="30"/>
  <c r="B72" i="30"/>
  <c r="T71" i="30"/>
  <c r="P71" i="30"/>
  <c r="X71" i="30" s="1"/>
  <c r="Z71" i="30" s="1"/>
  <c r="L71" i="30"/>
  <c r="N71" i="30" s="1"/>
  <c r="J71" i="30"/>
  <c r="H71" i="30"/>
  <c r="D71" i="30"/>
  <c r="B71" i="30"/>
  <c r="Z70" i="30"/>
  <c r="X70" i="30"/>
  <c r="N70" i="30"/>
  <c r="L70" i="30"/>
  <c r="B70" i="30"/>
  <c r="Z69" i="30"/>
  <c r="X69" i="30"/>
  <c r="V69" i="30"/>
  <c r="T69" i="30"/>
  <c r="P69" i="30"/>
  <c r="H69" i="30"/>
  <c r="N69" i="30" s="1"/>
  <c r="D69" i="30"/>
  <c r="B69" i="30"/>
  <c r="Z68" i="30"/>
  <c r="X68" i="30"/>
  <c r="L68" i="30"/>
  <c r="N68" i="30" s="1"/>
  <c r="B68" i="30"/>
  <c r="T67" i="30"/>
  <c r="P67" i="30"/>
  <c r="H67" i="30"/>
  <c r="D67" i="30"/>
  <c r="L67" i="30" s="1"/>
  <c r="B67" i="30"/>
  <c r="Z66" i="30"/>
  <c r="X66" i="30"/>
  <c r="N66" i="30"/>
  <c r="L66" i="30"/>
  <c r="B66" i="30"/>
  <c r="T65" i="30"/>
  <c r="Z65" i="30" s="1"/>
  <c r="P65" i="30"/>
  <c r="X65" i="30" s="1"/>
  <c r="H65" i="30"/>
  <c r="D65" i="30"/>
  <c r="L65" i="30" s="1"/>
  <c r="N65" i="30" s="1"/>
  <c r="B65" i="30"/>
  <c r="X64" i="30"/>
  <c r="Z64" i="30" s="1"/>
  <c r="N64" i="30"/>
  <c r="L64" i="30"/>
  <c r="B64" i="30"/>
  <c r="T63" i="30"/>
  <c r="P63" i="30"/>
  <c r="X63" i="30" s="1"/>
  <c r="Z63" i="30" s="1"/>
  <c r="L63" i="30"/>
  <c r="N63" i="30" s="1"/>
  <c r="J63" i="30"/>
  <c r="H63" i="30"/>
  <c r="D63" i="30"/>
  <c r="B63" i="30"/>
  <c r="Z62" i="30"/>
  <c r="X62" i="30"/>
  <c r="N62" i="30"/>
  <c r="L62" i="30"/>
  <c r="B62" i="30"/>
  <c r="Z61" i="30"/>
  <c r="X61" i="30"/>
  <c r="V61" i="30"/>
  <c r="N61" i="30"/>
  <c r="L61" i="30"/>
  <c r="B61" i="30"/>
  <c r="X60" i="30"/>
  <c r="Z60" i="30" s="1"/>
  <c r="N60" i="30"/>
  <c r="L60" i="30"/>
  <c r="B60" i="30"/>
  <c r="Z59" i="30"/>
  <c r="X59" i="30"/>
  <c r="L59" i="30"/>
  <c r="N59" i="30" s="1"/>
  <c r="B59" i="30"/>
  <c r="Z58" i="30"/>
  <c r="X58" i="30"/>
  <c r="N58" i="30"/>
  <c r="L58" i="30"/>
  <c r="B58" i="30"/>
  <c r="Z57" i="30"/>
  <c r="X57" i="30"/>
  <c r="N57" i="30"/>
  <c r="L57" i="30"/>
  <c r="J57" i="30"/>
  <c r="B57" i="30"/>
  <c r="Z56" i="30"/>
  <c r="X56" i="30"/>
  <c r="L56" i="30"/>
  <c r="N56" i="30" s="1"/>
  <c r="B56" i="30"/>
  <c r="Z55" i="30"/>
  <c r="X55" i="30"/>
  <c r="N55" i="30"/>
  <c r="L55" i="30"/>
  <c r="B55" i="30"/>
  <c r="Z54" i="30"/>
  <c r="X54" i="30"/>
  <c r="L54" i="30"/>
  <c r="N54" i="30" s="1"/>
  <c r="B54" i="30"/>
  <c r="Z53" i="30"/>
  <c r="X53" i="30"/>
  <c r="V53" i="30"/>
  <c r="N53" i="30"/>
  <c r="L53" i="30"/>
  <c r="B53" i="30"/>
  <c r="X52" i="30"/>
  <c r="Z52" i="30" s="1"/>
  <c r="T52" i="30"/>
  <c r="P52" i="30"/>
  <c r="H52" i="30"/>
  <c r="D52" i="30"/>
  <c r="B52" i="30"/>
  <c r="X51" i="30"/>
  <c r="Z51" i="30" s="1"/>
  <c r="N51" i="30"/>
  <c r="L51" i="30"/>
  <c r="B51" i="30"/>
  <c r="Z50" i="30"/>
  <c r="X50" i="30"/>
  <c r="L50" i="30"/>
  <c r="N50" i="30" s="1"/>
  <c r="B50" i="30"/>
  <c r="X49" i="30"/>
  <c r="Z49" i="30" s="1"/>
  <c r="V49" i="30"/>
  <c r="L49" i="30"/>
  <c r="N49" i="30" s="1"/>
  <c r="B49" i="30"/>
  <c r="Z48" i="30"/>
  <c r="X48" i="30"/>
  <c r="N48" i="30"/>
  <c r="L48" i="30"/>
  <c r="B48" i="30"/>
  <c r="Z47" i="30"/>
  <c r="X47" i="30"/>
  <c r="L47" i="30"/>
  <c r="N47" i="30" s="1"/>
  <c r="B47" i="30"/>
  <c r="X46" i="30"/>
  <c r="Z46" i="30" s="1"/>
  <c r="N46" i="30"/>
  <c r="L46" i="30"/>
  <c r="B46" i="30"/>
  <c r="X45" i="30"/>
  <c r="Z45" i="30" s="1"/>
  <c r="L45" i="30"/>
  <c r="N45" i="30" s="1"/>
  <c r="J45" i="30"/>
  <c r="B45" i="30"/>
  <c r="Z44" i="30"/>
  <c r="X44" i="30"/>
  <c r="L44" i="30"/>
  <c r="N44" i="30" s="1"/>
  <c r="B44" i="30"/>
  <c r="X43" i="30"/>
  <c r="Z43" i="30" s="1"/>
  <c r="N43" i="30"/>
  <c r="L43" i="30"/>
  <c r="B43" i="30"/>
  <c r="T42" i="30"/>
  <c r="P42" i="30"/>
  <c r="H42" i="30"/>
  <c r="D42" i="30"/>
  <c r="L42" i="30" s="1"/>
  <c r="B42" i="30"/>
  <c r="T41" i="30"/>
  <c r="Z41" i="30" s="1"/>
  <c r="P41" i="30"/>
  <c r="X41" i="30" s="1"/>
  <c r="H41" i="30"/>
  <c r="D41" i="30"/>
  <c r="L41" i="30" s="1"/>
  <c r="N41" i="30" s="1"/>
  <c r="Z37" i="30"/>
  <c r="X37" i="30"/>
  <c r="N37" i="30"/>
  <c r="L37" i="30"/>
  <c r="J37" i="30"/>
  <c r="B37" i="30"/>
  <c r="Z36" i="30"/>
  <c r="X36" i="30"/>
  <c r="N36" i="30"/>
  <c r="L36" i="30"/>
  <c r="B36" i="30"/>
  <c r="Z35" i="30"/>
  <c r="X35" i="30"/>
  <c r="N35" i="30"/>
  <c r="L35" i="30"/>
  <c r="B35" i="30"/>
  <c r="Z34" i="30"/>
  <c r="X34" i="30"/>
  <c r="N34" i="30"/>
  <c r="L34" i="30"/>
  <c r="B34" i="30"/>
  <c r="Z33" i="30"/>
  <c r="X33" i="30"/>
  <c r="V33" i="30"/>
  <c r="N33" i="30"/>
  <c r="L33" i="30"/>
  <c r="B33" i="30"/>
  <c r="Z32" i="30"/>
  <c r="X32" i="30"/>
  <c r="N32" i="30"/>
  <c r="L32" i="30"/>
  <c r="B32" i="30"/>
  <c r="Z31" i="30"/>
  <c r="X31" i="30"/>
  <c r="N31" i="30"/>
  <c r="L31" i="30"/>
  <c r="B31" i="30"/>
  <c r="Z30" i="30"/>
  <c r="X30" i="30"/>
  <c r="N30" i="30"/>
  <c r="L30" i="30"/>
  <c r="B30" i="30"/>
  <c r="Z29" i="30"/>
  <c r="X29" i="30"/>
  <c r="N29" i="30"/>
  <c r="L29" i="30"/>
  <c r="J29" i="30"/>
  <c r="B29" i="30"/>
  <c r="Z28" i="30"/>
  <c r="X28" i="30"/>
  <c r="N28" i="30"/>
  <c r="L28" i="30"/>
  <c r="B28" i="30"/>
  <c r="Z27" i="30"/>
  <c r="X27" i="30"/>
  <c r="N27" i="30"/>
  <c r="L27" i="30"/>
  <c r="B27" i="30"/>
  <c r="Z26" i="30"/>
  <c r="X26" i="30"/>
  <c r="N26" i="30"/>
  <c r="L26" i="30"/>
  <c r="B26" i="30"/>
  <c r="Z25" i="30"/>
  <c r="X25" i="30"/>
  <c r="V25" i="30"/>
  <c r="N25" i="30"/>
  <c r="L25" i="30"/>
  <c r="B25" i="30"/>
  <c r="Z24" i="30"/>
  <c r="X24" i="30"/>
  <c r="N24" i="30"/>
  <c r="L24" i="30"/>
  <c r="J24" i="30"/>
  <c r="B24" i="30"/>
  <c r="Z23" i="30"/>
  <c r="X23" i="30"/>
  <c r="N23" i="30"/>
  <c r="L23" i="30"/>
  <c r="B23" i="30"/>
  <c r="Z22" i="30"/>
  <c r="X22" i="30"/>
  <c r="N22" i="30"/>
  <c r="L22" i="30"/>
  <c r="B22" i="30"/>
  <c r="Z21" i="30"/>
  <c r="X21" i="30"/>
  <c r="N21" i="30"/>
  <c r="L21" i="30"/>
  <c r="J21" i="30"/>
  <c r="B21" i="30"/>
  <c r="Z20" i="30"/>
  <c r="X20" i="30"/>
  <c r="V20" i="30"/>
  <c r="N20" i="30"/>
  <c r="L20" i="30"/>
  <c r="B20" i="30"/>
  <c r="X19" i="30"/>
  <c r="Z19" i="30" s="1"/>
  <c r="N19" i="30"/>
  <c r="L19" i="30"/>
  <c r="B19" i="30"/>
  <c r="T18" i="30"/>
  <c r="P18" i="30"/>
  <c r="J18" i="30"/>
  <c r="H18" i="30"/>
  <c r="D18" i="30"/>
  <c r="L18" i="30" s="1"/>
  <c r="N18" i="30" s="1"/>
  <c r="Z16" i="30"/>
  <c r="P16" i="30"/>
  <c r="X16" i="30" s="1"/>
  <c r="N16" i="30"/>
  <c r="L16" i="30"/>
  <c r="D16" i="30"/>
  <c r="B16" i="30"/>
  <c r="Z15" i="30"/>
  <c r="X15" i="30"/>
  <c r="P15" i="30"/>
  <c r="N15" i="30"/>
  <c r="D15" i="30"/>
  <c r="L15" i="30" s="1"/>
  <c r="B15" i="30"/>
  <c r="Z14" i="30"/>
  <c r="X14" i="30"/>
  <c r="P14" i="30"/>
  <c r="N14" i="30"/>
  <c r="L14" i="30"/>
  <c r="D14" i="30"/>
  <c r="B14" i="30"/>
  <c r="P13" i="30"/>
  <c r="X13" i="30" s="1"/>
  <c r="Z13" i="30" s="1"/>
  <c r="D13" i="30"/>
  <c r="L13" i="30" s="1"/>
  <c r="N13" i="30" s="1"/>
  <c r="B13" i="30"/>
  <c r="T12" i="30"/>
  <c r="V111" i="30" s="1"/>
  <c r="H12" i="30"/>
  <c r="J116" i="30" s="1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36" i="29" s="1"/>
  <c r="P12" i="29"/>
  <c r="R31" i="29" s="1"/>
  <c r="H12" i="29"/>
  <c r="J20" i="29" s="1"/>
  <c r="D12" i="29"/>
  <c r="F36" i="29" s="1"/>
  <c r="D5" i="29"/>
  <c r="D4" i="29"/>
  <c r="B39" i="28"/>
  <c r="B38" i="28"/>
  <c r="T34" i="28"/>
  <c r="P34" i="28"/>
  <c r="H34" i="28"/>
  <c r="N34" i="28" s="1"/>
  <c r="D34" i="28"/>
  <c r="T33" i="28"/>
  <c r="Z33" i="28" s="1"/>
  <c r="P33" i="28"/>
  <c r="H33" i="28"/>
  <c r="N33" i="28" s="1"/>
  <c r="D33" i="28"/>
  <c r="T29" i="28"/>
  <c r="Z29" i="28" s="1"/>
  <c r="P29" i="28"/>
  <c r="H29" i="28"/>
  <c r="N29" i="28" s="1"/>
  <c r="D29" i="28"/>
  <c r="T25" i="28"/>
  <c r="Z25" i="28" s="1"/>
  <c r="P25" i="28"/>
  <c r="H25" i="28"/>
  <c r="N25" i="28" s="1"/>
  <c r="D25" i="28"/>
  <c r="B25" i="28"/>
  <c r="T24" i="28"/>
  <c r="Z24" i="28" s="1"/>
  <c r="P24" i="28"/>
  <c r="H24" i="28"/>
  <c r="N24" i="28" s="1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D21" i="28"/>
  <c r="B21" i="28"/>
  <c r="T20" i="28"/>
  <c r="Z20" i="28" s="1"/>
  <c r="P20" i="28"/>
  <c r="H20" i="28"/>
  <c r="N20" i="28" s="1"/>
  <c r="D20" i="28"/>
  <c r="T16" i="28"/>
  <c r="Z16" i="28" s="1"/>
  <c r="P16" i="28"/>
  <c r="H16" i="28"/>
  <c r="N16" i="28" s="1"/>
  <c r="D16" i="28"/>
  <c r="B16" i="28"/>
  <c r="T15" i="28"/>
  <c r="Z15" i="28" s="1"/>
  <c r="P15" i="28"/>
  <c r="H15" i="28"/>
  <c r="N15" i="28" s="1"/>
  <c r="D15" i="28"/>
  <c r="T13" i="28"/>
  <c r="Z13" i="28" s="1"/>
  <c r="P13" i="28"/>
  <c r="H13" i="28"/>
  <c r="N13" i="28" s="1"/>
  <c r="D13" i="28"/>
  <c r="B13" i="28"/>
  <c r="T12" i="28"/>
  <c r="P12" i="28"/>
  <c r="R24" i="28" s="1"/>
  <c r="H12" i="28"/>
  <c r="J22" i="28" s="1"/>
  <c r="D12" i="28"/>
  <c r="F18" i="28" s="1"/>
  <c r="D5" i="28"/>
  <c r="D4" i="28"/>
  <c r="Z88" i="27"/>
  <c r="X88" i="27"/>
  <c r="L88" i="27"/>
  <c r="N88" i="27" s="1"/>
  <c r="Z84" i="27"/>
  <c r="P84" i="27"/>
  <c r="N84" i="27"/>
  <c r="D84" i="27"/>
  <c r="L84" i="27" s="1"/>
  <c r="B84" i="27"/>
  <c r="Z83" i="27"/>
  <c r="X83" i="27"/>
  <c r="P83" i="27"/>
  <c r="N83" i="27"/>
  <c r="D83" i="27"/>
  <c r="B83" i="27"/>
  <c r="Z82" i="27"/>
  <c r="X82" i="27"/>
  <c r="P82" i="27"/>
  <c r="N82" i="27"/>
  <c r="L82" i="27"/>
  <c r="D82" i="27"/>
  <c r="B82" i="27"/>
  <c r="Z81" i="27"/>
  <c r="X81" i="27"/>
  <c r="P81" i="27"/>
  <c r="L81" i="27"/>
  <c r="N81" i="27" s="1"/>
  <c r="D81" i="27"/>
  <c r="B81" i="27"/>
  <c r="T80" i="27"/>
  <c r="J80" i="27"/>
  <c r="H80" i="27"/>
  <c r="X78" i="27"/>
  <c r="Z78" i="27" s="1"/>
  <c r="N78" i="27"/>
  <c r="L78" i="27"/>
  <c r="B78" i="27"/>
  <c r="Z77" i="27"/>
  <c r="X77" i="27"/>
  <c r="N77" i="27"/>
  <c r="L77" i="27"/>
  <c r="B77" i="27"/>
  <c r="X76" i="27"/>
  <c r="V76" i="27"/>
  <c r="T76" i="27"/>
  <c r="Z76" i="27" s="1"/>
  <c r="P76" i="27"/>
  <c r="L76" i="27"/>
  <c r="H76" i="27"/>
  <c r="N76" i="27" s="1"/>
  <c r="D76" i="27"/>
  <c r="B76" i="27"/>
  <c r="Z75" i="27"/>
  <c r="X75" i="27"/>
  <c r="L75" i="27"/>
  <c r="N75" i="27" s="1"/>
  <c r="B75" i="27"/>
  <c r="X74" i="27"/>
  <c r="Z74" i="27" s="1"/>
  <c r="N74" i="27"/>
  <c r="L74" i="27"/>
  <c r="B74" i="27"/>
  <c r="T73" i="27"/>
  <c r="P73" i="27"/>
  <c r="X73" i="27" s="1"/>
  <c r="H73" i="27"/>
  <c r="D73" i="27"/>
  <c r="L73" i="27" s="1"/>
  <c r="N73" i="27" s="1"/>
  <c r="B73" i="27"/>
  <c r="X72" i="27"/>
  <c r="Z72" i="27" s="1"/>
  <c r="L72" i="27"/>
  <c r="N72" i="27" s="1"/>
  <c r="J72" i="27"/>
  <c r="B72" i="27"/>
  <c r="T71" i="27"/>
  <c r="P71" i="27"/>
  <c r="X71" i="27" s="1"/>
  <c r="Z71" i="27" s="1"/>
  <c r="H71" i="27"/>
  <c r="D71" i="27"/>
  <c r="L71" i="27" s="1"/>
  <c r="B71" i="27"/>
  <c r="Z70" i="27"/>
  <c r="X70" i="27"/>
  <c r="L70" i="27"/>
  <c r="N70" i="27" s="1"/>
  <c r="B70" i="27"/>
  <c r="X69" i="27"/>
  <c r="Z69" i="27" s="1"/>
  <c r="N69" i="27"/>
  <c r="L69" i="27"/>
  <c r="B69" i="27"/>
  <c r="Z68" i="27"/>
  <c r="X68" i="27"/>
  <c r="N68" i="27"/>
  <c r="L68" i="27"/>
  <c r="J68" i="27"/>
  <c r="B68" i="27"/>
  <c r="T67" i="27"/>
  <c r="P67" i="27"/>
  <c r="X67" i="27" s="1"/>
  <c r="Z67" i="27" s="1"/>
  <c r="H67" i="27"/>
  <c r="N67" i="27" s="1"/>
  <c r="D67" i="27"/>
  <c r="L67" i="27" s="1"/>
  <c r="B67" i="27"/>
  <c r="Z66" i="27"/>
  <c r="X66" i="27"/>
  <c r="L66" i="27"/>
  <c r="N66" i="27" s="1"/>
  <c r="B66" i="27"/>
  <c r="T65" i="27"/>
  <c r="Z65" i="27" s="1"/>
  <c r="P65" i="27"/>
  <c r="X65" i="27" s="1"/>
  <c r="L65" i="27"/>
  <c r="N65" i="27" s="1"/>
  <c r="H65" i="27"/>
  <c r="D65" i="27"/>
  <c r="B65" i="27"/>
  <c r="X64" i="27"/>
  <c r="Z64" i="27" s="1"/>
  <c r="V64" i="27"/>
  <c r="L64" i="27"/>
  <c r="N64" i="27" s="1"/>
  <c r="B64" i="27"/>
  <c r="X63" i="27"/>
  <c r="Z63" i="27" s="1"/>
  <c r="T63" i="27"/>
  <c r="P63" i="27"/>
  <c r="H63" i="27"/>
  <c r="D63" i="27"/>
  <c r="B63" i="27"/>
  <c r="X62" i="27"/>
  <c r="Z62" i="27" s="1"/>
  <c r="N62" i="27"/>
  <c r="L62" i="27"/>
  <c r="B62" i="27"/>
  <c r="T61" i="27"/>
  <c r="P61" i="27"/>
  <c r="H61" i="27"/>
  <c r="N61" i="27" s="1"/>
  <c r="D61" i="27"/>
  <c r="L61" i="27" s="1"/>
  <c r="B61" i="27"/>
  <c r="X60" i="27"/>
  <c r="Z60" i="27" s="1"/>
  <c r="L60" i="27"/>
  <c r="N60" i="27" s="1"/>
  <c r="J60" i="27"/>
  <c r="B60" i="27"/>
  <c r="T59" i="27"/>
  <c r="P59" i="27"/>
  <c r="X59" i="27" s="1"/>
  <c r="H59" i="27"/>
  <c r="D59" i="27"/>
  <c r="L59" i="27" s="1"/>
  <c r="B59" i="27"/>
  <c r="Z58" i="27"/>
  <c r="X58" i="27"/>
  <c r="L58" i="27"/>
  <c r="N58" i="27" s="1"/>
  <c r="B58" i="27"/>
  <c r="T57" i="27"/>
  <c r="Z57" i="27" s="1"/>
  <c r="P57" i="27"/>
  <c r="X57" i="27" s="1"/>
  <c r="L57" i="27"/>
  <c r="N57" i="27" s="1"/>
  <c r="H57" i="27"/>
  <c r="D57" i="27"/>
  <c r="B57" i="27"/>
  <c r="X56" i="27"/>
  <c r="Z56" i="27" s="1"/>
  <c r="V56" i="27"/>
  <c r="N56" i="27"/>
  <c r="L56" i="27"/>
  <c r="B56" i="27"/>
  <c r="X55" i="27"/>
  <c r="Z55" i="27" s="1"/>
  <c r="T55" i="27"/>
  <c r="P55" i="27"/>
  <c r="H55" i="27"/>
  <c r="D55" i="27"/>
  <c r="B55" i="27"/>
  <c r="Z54" i="27"/>
  <c r="X54" i="27"/>
  <c r="N54" i="27"/>
  <c r="L54" i="27"/>
  <c r="B54" i="27"/>
  <c r="Z53" i="27"/>
  <c r="X53" i="27"/>
  <c r="N53" i="27"/>
  <c r="L53" i="27"/>
  <c r="B53" i="27"/>
  <c r="X52" i="27"/>
  <c r="Z52" i="27" s="1"/>
  <c r="V52" i="27"/>
  <c r="N52" i="27"/>
  <c r="L52" i="27"/>
  <c r="B52" i="27"/>
  <c r="X51" i="27"/>
  <c r="Z51" i="27" s="1"/>
  <c r="L51" i="27"/>
  <c r="N51" i="27" s="1"/>
  <c r="B51" i="27"/>
  <c r="Z50" i="27"/>
  <c r="X50" i="27"/>
  <c r="N50" i="27"/>
  <c r="L50" i="27"/>
  <c r="B50" i="27"/>
  <c r="X49" i="27"/>
  <c r="Z49" i="27" s="1"/>
  <c r="N49" i="27"/>
  <c r="L49" i="27"/>
  <c r="B49" i="27"/>
  <c r="X48" i="27"/>
  <c r="Z48" i="27" s="1"/>
  <c r="L48" i="27"/>
  <c r="N48" i="27" s="1"/>
  <c r="J48" i="27"/>
  <c r="B48" i="27"/>
  <c r="Z47" i="27"/>
  <c r="X47" i="27"/>
  <c r="N47" i="27"/>
  <c r="L47" i="27"/>
  <c r="B47" i="27"/>
  <c r="X46" i="27"/>
  <c r="Z46" i="27" s="1"/>
  <c r="N46" i="27"/>
  <c r="L46" i="27"/>
  <c r="B46" i="27"/>
  <c r="Z45" i="27"/>
  <c r="X45" i="27"/>
  <c r="N45" i="27"/>
  <c r="L45" i="27"/>
  <c r="B45" i="27"/>
  <c r="X44" i="27"/>
  <c r="Z44" i="27" s="1"/>
  <c r="V44" i="27"/>
  <c r="T44" i="27"/>
  <c r="P44" i="27"/>
  <c r="L44" i="27"/>
  <c r="H44" i="27"/>
  <c r="N44" i="27" s="1"/>
  <c r="D44" i="27"/>
  <c r="B44" i="27"/>
  <c r="X43" i="27"/>
  <c r="Z43" i="27" s="1"/>
  <c r="L43" i="27"/>
  <c r="N43" i="27" s="1"/>
  <c r="B43" i="27"/>
  <c r="X42" i="27"/>
  <c r="Z42" i="27" s="1"/>
  <c r="N42" i="27"/>
  <c r="L42" i="27"/>
  <c r="B42" i="27"/>
  <c r="Z41" i="27"/>
  <c r="X41" i="27"/>
  <c r="L41" i="27"/>
  <c r="N41" i="27" s="1"/>
  <c r="B41" i="27"/>
  <c r="Z40" i="27"/>
  <c r="X40" i="27"/>
  <c r="V40" i="27"/>
  <c r="N40" i="27"/>
  <c r="L40" i="27"/>
  <c r="B40" i="27"/>
  <c r="Z39" i="27"/>
  <c r="X39" i="27"/>
  <c r="N39" i="27"/>
  <c r="L39" i="27"/>
  <c r="B39" i="27"/>
  <c r="Z38" i="27"/>
  <c r="X38" i="27"/>
  <c r="L38" i="27"/>
  <c r="N38" i="27" s="1"/>
  <c r="B38" i="27"/>
  <c r="X37" i="27"/>
  <c r="Z37" i="27" s="1"/>
  <c r="N37" i="27"/>
  <c r="L37" i="27"/>
  <c r="B37" i="27"/>
  <c r="X36" i="27"/>
  <c r="Z36" i="27" s="1"/>
  <c r="L36" i="27"/>
  <c r="N36" i="27" s="1"/>
  <c r="J36" i="27"/>
  <c r="B36" i="27"/>
  <c r="X35" i="27"/>
  <c r="Z35" i="27" s="1"/>
  <c r="L35" i="27"/>
  <c r="N35" i="27" s="1"/>
  <c r="B35" i="27"/>
  <c r="X34" i="27"/>
  <c r="Z34" i="27" s="1"/>
  <c r="N34" i="27"/>
  <c r="L34" i="27"/>
  <c r="B34" i="27"/>
  <c r="T33" i="27"/>
  <c r="P33" i="27"/>
  <c r="H33" i="27"/>
  <c r="D33" i="27"/>
  <c r="L33" i="27" s="1"/>
  <c r="B33" i="27"/>
  <c r="T32" i="27"/>
  <c r="Z32" i="27" s="1"/>
  <c r="P32" i="27"/>
  <c r="X32" i="27" s="1"/>
  <c r="H32" i="27"/>
  <c r="D32" i="27"/>
  <c r="L32" i="27" s="1"/>
  <c r="N32" i="27" s="1"/>
  <c r="Z28" i="27"/>
  <c r="X28" i="27"/>
  <c r="N28" i="27"/>
  <c r="L28" i="27"/>
  <c r="J28" i="27"/>
  <c r="B28" i="27"/>
  <c r="Z27" i="27"/>
  <c r="X27" i="27"/>
  <c r="V27" i="27"/>
  <c r="N27" i="27"/>
  <c r="L27" i="27"/>
  <c r="B27" i="27"/>
  <c r="Z26" i="27"/>
  <c r="X26" i="27"/>
  <c r="N26" i="27"/>
  <c r="L26" i="27"/>
  <c r="B26" i="27"/>
  <c r="Z25" i="27"/>
  <c r="X25" i="27"/>
  <c r="V25" i="27"/>
  <c r="N25" i="27"/>
  <c r="L25" i="27"/>
  <c r="B25" i="27"/>
  <c r="Z24" i="27"/>
  <c r="X24" i="27"/>
  <c r="V24" i="27"/>
  <c r="N24" i="27"/>
  <c r="L24" i="27"/>
  <c r="B24" i="27"/>
  <c r="Z23" i="27"/>
  <c r="X23" i="27"/>
  <c r="N23" i="27"/>
  <c r="L23" i="27"/>
  <c r="J23" i="27"/>
  <c r="B23" i="27"/>
  <c r="Z22" i="27"/>
  <c r="X22" i="27"/>
  <c r="N22" i="27"/>
  <c r="L22" i="27"/>
  <c r="B22" i="27"/>
  <c r="Z21" i="27"/>
  <c r="X21" i="27"/>
  <c r="N21" i="27"/>
  <c r="L21" i="27"/>
  <c r="J21" i="27"/>
  <c r="B21" i="27"/>
  <c r="Z20" i="27"/>
  <c r="X20" i="27"/>
  <c r="N20" i="27"/>
  <c r="L20" i="27"/>
  <c r="J20" i="27"/>
  <c r="B20" i="27"/>
  <c r="Z19" i="27"/>
  <c r="X19" i="27"/>
  <c r="V19" i="27"/>
  <c r="L19" i="27"/>
  <c r="N19" i="27" s="1"/>
  <c r="B19" i="27"/>
  <c r="X18" i="27"/>
  <c r="T18" i="27"/>
  <c r="Z18" i="27" s="1"/>
  <c r="P18" i="27"/>
  <c r="H18" i="27"/>
  <c r="N18" i="27" s="1"/>
  <c r="D18" i="27"/>
  <c r="L18" i="27" s="1"/>
  <c r="Z16" i="27"/>
  <c r="P16" i="27"/>
  <c r="X16" i="27" s="1"/>
  <c r="N16" i="27"/>
  <c r="D16" i="27"/>
  <c r="D12" i="27" s="1"/>
  <c r="B16" i="27"/>
  <c r="Z15" i="27"/>
  <c r="X15" i="27"/>
  <c r="P15" i="27"/>
  <c r="N15" i="27"/>
  <c r="L15" i="27"/>
  <c r="D15" i="27"/>
  <c r="B15" i="27"/>
  <c r="Z14" i="27"/>
  <c r="P14" i="27"/>
  <c r="N14" i="27"/>
  <c r="D14" i="27"/>
  <c r="L14" i="27" s="1"/>
  <c r="B14" i="27"/>
  <c r="P13" i="27"/>
  <c r="X13" i="27" s="1"/>
  <c r="Z13" i="27" s="1"/>
  <c r="D13" i="27"/>
  <c r="L13" i="27" s="1"/>
  <c r="N13" i="27" s="1"/>
  <c r="B13" i="27"/>
  <c r="T12" i="27"/>
  <c r="H12" i="27"/>
  <c r="J78" i="27" s="1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D33" i="26"/>
  <c r="T29" i="26"/>
  <c r="Z29" i="26" s="1"/>
  <c r="P29" i="26"/>
  <c r="H29" i="26"/>
  <c r="D29" i="26"/>
  <c r="T25" i="26"/>
  <c r="Z25" i="26" s="1"/>
  <c r="P25" i="26"/>
  <c r="H25" i="26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D15" i="26"/>
  <c r="T13" i="26"/>
  <c r="Z13" i="26" s="1"/>
  <c r="P13" i="26"/>
  <c r="H13" i="26"/>
  <c r="N13" i="26" s="1"/>
  <c r="D13" i="26"/>
  <c r="B13" i="26"/>
  <c r="T12" i="26"/>
  <c r="V22" i="26" s="1"/>
  <c r="P12" i="26"/>
  <c r="R18" i="26" s="1"/>
  <c r="H12" i="26"/>
  <c r="J20" i="26" s="1"/>
  <c r="D12" i="26"/>
  <c r="F22" i="26" s="1"/>
  <c r="D5" i="26"/>
  <c r="D4" i="26"/>
  <c r="B39" i="25"/>
  <c r="B38" i="25"/>
  <c r="T34" i="25"/>
  <c r="Z34" i="25" s="1"/>
  <c r="P34" i="25"/>
  <c r="H34" i="25"/>
  <c r="N34" i="25" s="1"/>
  <c r="D34" i="25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T25" i="25"/>
  <c r="Z25" i="25" s="1"/>
  <c r="P25" i="25"/>
  <c r="H25" i="25"/>
  <c r="N25" i="25" s="1"/>
  <c r="D25" i="25"/>
  <c r="B25" i="25"/>
  <c r="T24" i="25"/>
  <c r="P24" i="25"/>
  <c r="H24" i="25"/>
  <c r="N24" i="25" s="1"/>
  <c r="D24" i="25"/>
  <c r="T22" i="25"/>
  <c r="Z22" i="25" s="1"/>
  <c r="P22" i="25"/>
  <c r="H22" i="25"/>
  <c r="N22" i="25" s="1"/>
  <c r="D22" i="25"/>
  <c r="B22" i="25"/>
  <c r="T21" i="25"/>
  <c r="Z21" i="25" s="1"/>
  <c r="P21" i="25"/>
  <c r="H21" i="25"/>
  <c r="N21" i="25" s="1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Z15" i="25" s="1"/>
  <c r="P15" i="25"/>
  <c r="H15" i="25"/>
  <c r="N15" i="25" s="1"/>
  <c r="D15" i="25"/>
  <c r="T13" i="25"/>
  <c r="Z13" i="25" s="1"/>
  <c r="P13" i="25"/>
  <c r="H13" i="25"/>
  <c r="N13" i="25" s="1"/>
  <c r="D13" i="25"/>
  <c r="B13" i="25"/>
  <c r="T12" i="25"/>
  <c r="V21" i="25" s="1"/>
  <c r="P12" i="25"/>
  <c r="R27" i="25" s="1"/>
  <c r="H12" i="25"/>
  <c r="J20" i="25" s="1"/>
  <c r="D12" i="25"/>
  <c r="F36" i="25" s="1"/>
  <c r="D5" i="25"/>
  <c r="D4" i="25"/>
  <c r="X82" i="24"/>
  <c r="Z82" i="24" s="1"/>
  <c r="N82" i="24"/>
  <c r="L82" i="24"/>
  <c r="J82" i="24"/>
  <c r="Z78" i="24"/>
  <c r="T78" i="24"/>
  <c r="P78" i="24"/>
  <c r="X78" i="24" s="1"/>
  <c r="H78" i="24"/>
  <c r="N78" i="24" s="1"/>
  <c r="D78" i="24"/>
  <c r="L78" i="24" s="1"/>
  <c r="Z76" i="24"/>
  <c r="X76" i="24"/>
  <c r="N76" i="24"/>
  <c r="L76" i="24"/>
  <c r="B76" i="24"/>
  <c r="T75" i="24"/>
  <c r="P75" i="24"/>
  <c r="J75" i="24"/>
  <c r="H75" i="24"/>
  <c r="D75" i="24"/>
  <c r="L75" i="24" s="1"/>
  <c r="N75" i="24" s="1"/>
  <c r="B75" i="24"/>
  <c r="Z74" i="24"/>
  <c r="X74" i="24"/>
  <c r="L74" i="24"/>
  <c r="N74" i="24" s="1"/>
  <c r="B74" i="24"/>
  <c r="Z73" i="24"/>
  <c r="X73" i="24"/>
  <c r="L73" i="24"/>
  <c r="N73" i="24" s="1"/>
  <c r="B73" i="24"/>
  <c r="Z72" i="24"/>
  <c r="X72" i="24"/>
  <c r="N72" i="24"/>
  <c r="L72" i="24"/>
  <c r="B72" i="24"/>
  <c r="Z71" i="24"/>
  <c r="T71" i="24"/>
  <c r="P71" i="24"/>
  <c r="X71" i="24" s="1"/>
  <c r="H71" i="24"/>
  <c r="D71" i="24"/>
  <c r="L71" i="24" s="1"/>
  <c r="N71" i="24" s="1"/>
  <c r="B71" i="24"/>
  <c r="Z70" i="24"/>
  <c r="X70" i="24"/>
  <c r="N70" i="24"/>
  <c r="L70" i="24"/>
  <c r="J70" i="24"/>
  <c r="B70" i="24"/>
  <c r="Z69" i="24"/>
  <c r="X69" i="24"/>
  <c r="T69" i="24"/>
  <c r="P69" i="24"/>
  <c r="N69" i="24"/>
  <c r="H69" i="24"/>
  <c r="L69" i="24" s="1"/>
  <c r="D69" i="24"/>
  <c r="B69" i="24"/>
  <c r="Z68" i="24"/>
  <c r="X68" i="24"/>
  <c r="N68" i="24"/>
  <c r="L68" i="24"/>
  <c r="B68" i="24"/>
  <c r="V67" i="24"/>
  <c r="T67" i="24"/>
  <c r="Z67" i="24" s="1"/>
  <c r="P67" i="24"/>
  <c r="J67" i="24"/>
  <c r="H67" i="24"/>
  <c r="N67" i="24" s="1"/>
  <c r="D67" i="24"/>
  <c r="L67" i="24" s="1"/>
  <c r="B67" i="24"/>
  <c r="X66" i="24"/>
  <c r="Z66" i="24" s="1"/>
  <c r="N66" i="24"/>
  <c r="L66" i="24"/>
  <c r="B66" i="24"/>
  <c r="T65" i="24"/>
  <c r="P65" i="24"/>
  <c r="X65" i="24" s="1"/>
  <c r="L65" i="24"/>
  <c r="H65" i="24"/>
  <c r="D65" i="24"/>
  <c r="B65" i="24"/>
  <c r="Z64" i="24"/>
  <c r="X64" i="24"/>
  <c r="N64" i="24"/>
  <c r="L64" i="24"/>
  <c r="B64" i="24"/>
  <c r="V63" i="24"/>
  <c r="T63" i="24"/>
  <c r="Z63" i="24" s="1"/>
  <c r="P63" i="24"/>
  <c r="X63" i="24" s="1"/>
  <c r="N63" i="24"/>
  <c r="L63" i="24"/>
  <c r="H63" i="24"/>
  <c r="D63" i="24"/>
  <c r="B63" i="24"/>
  <c r="Z62" i="24"/>
  <c r="X62" i="24"/>
  <c r="N62" i="24"/>
  <c r="L62" i="24"/>
  <c r="B62" i="24"/>
  <c r="Z61" i="24"/>
  <c r="X61" i="24"/>
  <c r="T61" i="24"/>
  <c r="P61" i="24"/>
  <c r="H61" i="24"/>
  <c r="N61" i="24" s="1"/>
  <c r="D61" i="24"/>
  <c r="B61" i="24"/>
  <c r="Z60" i="24"/>
  <c r="X60" i="24"/>
  <c r="N60" i="24"/>
  <c r="L60" i="24"/>
  <c r="B60" i="24"/>
  <c r="Z59" i="24"/>
  <c r="X59" i="24"/>
  <c r="N59" i="24"/>
  <c r="L59" i="24"/>
  <c r="J59" i="24"/>
  <c r="B59" i="24"/>
  <c r="Z58" i="24"/>
  <c r="T58" i="24"/>
  <c r="P58" i="24"/>
  <c r="X58" i="24" s="1"/>
  <c r="N58" i="24"/>
  <c r="H58" i="24"/>
  <c r="D58" i="24"/>
  <c r="L58" i="24" s="1"/>
  <c r="B58" i="24"/>
  <c r="Z57" i="24"/>
  <c r="X57" i="24"/>
  <c r="L57" i="24"/>
  <c r="N57" i="24" s="1"/>
  <c r="B57" i="24"/>
  <c r="T56" i="24"/>
  <c r="Z56" i="24" s="1"/>
  <c r="P56" i="24"/>
  <c r="X56" i="24" s="1"/>
  <c r="L56" i="24"/>
  <c r="H56" i="24"/>
  <c r="N56" i="24" s="1"/>
  <c r="D56" i="24"/>
  <c r="B56" i="24"/>
  <c r="Z55" i="24"/>
  <c r="X55" i="24"/>
  <c r="V55" i="24"/>
  <c r="L55" i="24"/>
  <c r="N55" i="24" s="1"/>
  <c r="B55" i="24"/>
  <c r="X54" i="24"/>
  <c r="T54" i="24"/>
  <c r="Z54" i="24" s="1"/>
  <c r="P54" i="24"/>
  <c r="H54" i="24"/>
  <c r="D54" i="24"/>
  <c r="B54" i="24"/>
  <c r="X53" i="24"/>
  <c r="Z53" i="24" s="1"/>
  <c r="N53" i="24"/>
  <c r="L53" i="24"/>
  <c r="B53" i="24"/>
  <c r="T52" i="24"/>
  <c r="P52" i="24"/>
  <c r="J52" i="24"/>
  <c r="H52" i="24"/>
  <c r="D52" i="24"/>
  <c r="L52" i="24" s="1"/>
  <c r="N52" i="24" s="1"/>
  <c r="B52" i="24"/>
  <c r="Z51" i="24"/>
  <c r="X51" i="24"/>
  <c r="N51" i="24"/>
  <c r="L51" i="24"/>
  <c r="J51" i="24"/>
  <c r="B51" i="24"/>
  <c r="Z50" i="24"/>
  <c r="X50" i="24"/>
  <c r="N50" i="24"/>
  <c r="L50" i="24"/>
  <c r="B50" i="24"/>
  <c r="Z49" i="24"/>
  <c r="X49" i="24"/>
  <c r="N49" i="24"/>
  <c r="L49" i="24"/>
  <c r="B49" i="24"/>
  <c r="Z48" i="24"/>
  <c r="X48" i="24"/>
  <c r="N48" i="24"/>
  <c r="L48" i="24"/>
  <c r="B48" i="24"/>
  <c r="Z47" i="24"/>
  <c r="X47" i="24"/>
  <c r="V47" i="24"/>
  <c r="N47" i="24"/>
  <c r="L47" i="24"/>
  <c r="B47" i="24"/>
  <c r="Z46" i="24"/>
  <c r="X46" i="24"/>
  <c r="N46" i="24"/>
  <c r="L46" i="24"/>
  <c r="J46" i="24"/>
  <c r="B46" i="24"/>
  <c r="Z45" i="24"/>
  <c r="X45" i="24"/>
  <c r="L45" i="24"/>
  <c r="N45" i="24" s="1"/>
  <c r="B45" i="24"/>
  <c r="Z44" i="24"/>
  <c r="X44" i="24"/>
  <c r="N44" i="24"/>
  <c r="L44" i="24"/>
  <c r="B44" i="24"/>
  <c r="Z43" i="24"/>
  <c r="X43" i="24"/>
  <c r="N43" i="24"/>
  <c r="L43" i="24"/>
  <c r="J43" i="24"/>
  <c r="B43" i="24"/>
  <c r="Z42" i="24"/>
  <c r="X42" i="24"/>
  <c r="N42" i="24"/>
  <c r="L42" i="24"/>
  <c r="B42" i="24"/>
  <c r="X41" i="24"/>
  <c r="Z41" i="24" s="1"/>
  <c r="T41" i="24"/>
  <c r="P41" i="24"/>
  <c r="H41" i="24"/>
  <c r="D41" i="24"/>
  <c r="B41" i="24"/>
  <c r="Z40" i="24"/>
  <c r="X40" i="24"/>
  <c r="N40" i="24"/>
  <c r="L40" i="24"/>
  <c r="B40" i="24"/>
  <c r="Z39" i="24"/>
  <c r="X39" i="24"/>
  <c r="N39" i="24"/>
  <c r="L39" i="24"/>
  <c r="J39" i="24"/>
  <c r="B39" i="24"/>
  <c r="Z38" i="24"/>
  <c r="X38" i="24"/>
  <c r="N38" i="24"/>
  <c r="L38" i="24"/>
  <c r="J38" i="24"/>
  <c r="B38" i="24"/>
  <c r="Z37" i="24"/>
  <c r="X37" i="24"/>
  <c r="N37" i="24"/>
  <c r="L37" i="24"/>
  <c r="B37" i="24"/>
  <c r="Z36" i="24"/>
  <c r="X36" i="24"/>
  <c r="N36" i="24"/>
  <c r="L36" i="24"/>
  <c r="J36" i="24"/>
  <c r="B36" i="24"/>
  <c r="Z35" i="24"/>
  <c r="X35" i="24"/>
  <c r="V35" i="24"/>
  <c r="N35" i="24"/>
  <c r="L35" i="24"/>
  <c r="J35" i="24"/>
  <c r="B35" i="24"/>
  <c r="X34" i="24"/>
  <c r="Z34" i="24" s="1"/>
  <c r="N34" i="24"/>
  <c r="L34" i="24"/>
  <c r="J34" i="24"/>
  <c r="B34" i="24"/>
  <c r="Z33" i="24"/>
  <c r="X33" i="24"/>
  <c r="L33" i="24"/>
  <c r="N33" i="24" s="1"/>
  <c r="J33" i="24"/>
  <c r="B33" i="24"/>
  <c r="T32" i="24"/>
  <c r="Z32" i="24" s="1"/>
  <c r="P32" i="24"/>
  <c r="X32" i="24" s="1"/>
  <c r="L32" i="24"/>
  <c r="J32" i="24"/>
  <c r="H32" i="24"/>
  <c r="N32" i="24" s="1"/>
  <c r="D32" i="24"/>
  <c r="B32" i="24"/>
  <c r="V31" i="24"/>
  <c r="T31" i="24"/>
  <c r="Z31" i="24" s="1"/>
  <c r="P31" i="24"/>
  <c r="X31" i="24" s="1"/>
  <c r="L31" i="24"/>
  <c r="N31" i="24" s="1"/>
  <c r="J31" i="24"/>
  <c r="H31" i="24"/>
  <c r="D31" i="24"/>
  <c r="Z27" i="24"/>
  <c r="X27" i="24"/>
  <c r="V27" i="24"/>
  <c r="N27" i="24"/>
  <c r="L27" i="24"/>
  <c r="J27" i="24"/>
  <c r="B27" i="24"/>
  <c r="Z26" i="24"/>
  <c r="X26" i="24"/>
  <c r="N26" i="24"/>
  <c r="L26" i="24"/>
  <c r="J26" i="24"/>
  <c r="B26" i="24"/>
  <c r="Z25" i="24"/>
  <c r="X25" i="24"/>
  <c r="N25" i="24"/>
  <c r="L25" i="24"/>
  <c r="J25" i="24"/>
  <c r="B25" i="24"/>
  <c r="Z24" i="24"/>
  <c r="X24" i="24"/>
  <c r="N24" i="24"/>
  <c r="L24" i="24"/>
  <c r="B24" i="24"/>
  <c r="Z23" i="24"/>
  <c r="X23" i="24"/>
  <c r="N23" i="24"/>
  <c r="L23" i="24"/>
  <c r="J23" i="24"/>
  <c r="B23" i="24"/>
  <c r="Z22" i="24"/>
  <c r="X22" i="24"/>
  <c r="N22" i="24"/>
  <c r="L22" i="24"/>
  <c r="J22" i="24"/>
  <c r="B22" i="24"/>
  <c r="Z21" i="24"/>
  <c r="X21" i="24"/>
  <c r="N21" i="24"/>
  <c r="L21" i="24"/>
  <c r="B21" i="24"/>
  <c r="Z20" i="24"/>
  <c r="X20" i="24"/>
  <c r="N20" i="24"/>
  <c r="L20" i="24"/>
  <c r="J20" i="24"/>
  <c r="B20" i="24"/>
  <c r="Z19" i="24"/>
  <c r="X19" i="24"/>
  <c r="V19" i="24"/>
  <c r="N19" i="24"/>
  <c r="L19" i="24"/>
  <c r="J19" i="24"/>
  <c r="B19" i="24"/>
  <c r="X18" i="24"/>
  <c r="Z18" i="24" s="1"/>
  <c r="N18" i="24"/>
  <c r="L18" i="24"/>
  <c r="J18" i="24"/>
  <c r="B18" i="24"/>
  <c r="T17" i="24"/>
  <c r="P17" i="24"/>
  <c r="X17" i="24" s="1"/>
  <c r="Z17" i="24" s="1"/>
  <c r="J17" i="24"/>
  <c r="H17" i="24"/>
  <c r="H29" i="24" s="1"/>
  <c r="H80" i="24" s="1"/>
  <c r="D17" i="24"/>
  <c r="L17" i="24" s="1"/>
  <c r="Z15" i="24"/>
  <c r="X15" i="24"/>
  <c r="P15" i="24"/>
  <c r="N15" i="24"/>
  <c r="L15" i="24"/>
  <c r="D15" i="24"/>
  <c r="B15" i="24"/>
  <c r="P14" i="24"/>
  <c r="X14" i="24" s="1"/>
  <c r="Z14" i="24" s="1"/>
  <c r="D14" i="24"/>
  <c r="L14" i="24" s="1"/>
  <c r="N14" i="24" s="1"/>
  <c r="B14" i="24"/>
  <c r="X13" i="24"/>
  <c r="Z13" i="24" s="1"/>
  <c r="P13" i="24"/>
  <c r="N13" i="24"/>
  <c r="L13" i="24"/>
  <c r="D13" i="24"/>
  <c r="B13" i="24"/>
  <c r="T12" i="24"/>
  <c r="V70" i="24" s="1"/>
  <c r="H12" i="24"/>
  <c r="J74" i="24" s="1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D20" i="23"/>
  <c r="T16" i="23"/>
  <c r="Z16" i="23" s="1"/>
  <c r="P16" i="23"/>
  <c r="H16" i="23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34" i="23" s="1"/>
  <c r="P12" i="23"/>
  <c r="H12" i="23"/>
  <c r="J21" i="23" s="1"/>
  <c r="D12" i="23"/>
  <c r="D5" i="23"/>
  <c r="D4" i="23"/>
  <c r="B39" i="22"/>
  <c r="B38" i="22"/>
  <c r="T34" i="22"/>
  <c r="Z34" i="22" s="1"/>
  <c r="P34" i="22"/>
  <c r="H34" i="22"/>
  <c r="N34" i="22" s="1"/>
  <c r="D34" i="22"/>
  <c r="T33" i="22"/>
  <c r="P33" i="22"/>
  <c r="H33" i="22"/>
  <c r="N33" i="22" s="1"/>
  <c r="D33" i="22"/>
  <c r="T29" i="22"/>
  <c r="P29" i="22"/>
  <c r="H29" i="22"/>
  <c r="N29" i="22" s="1"/>
  <c r="D29" i="22"/>
  <c r="T25" i="22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20" i="22" s="1"/>
  <c r="P12" i="22"/>
  <c r="R22" i="22" s="1"/>
  <c r="H12" i="22"/>
  <c r="D12" i="22"/>
  <c r="F20" i="22" s="1"/>
  <c r="D5" i="22"/>
  <c r="D4" i="22"/>
  <c r="X90" i="21"/>
  <c r="Z90" i="21" s="1"/>
  <c r="N90" i="21"/>
  <c r="L90" i="21"/>
  <c r="Z86" i="21"/>
  <c r="T86" i="21"/>
  <c r="P86" i="21"/>
  <c r="X86" i="21" s="1"/>
  <c r="J86" i="21"/>
  <c r="H86" i="21"/>
  <c r="N86" i="21" s="1"/>
  <c r="D86" i="21"/>
  <c r="L86" i="21" s="1"/>
  <c r="Z84" i="21"/>
  <c r="X84" i="21"/>
  <c r="N84" i="21"/>
  <c r="L84" i="21"/>
  <c r="B84" i="21"/>
  <c r="T83" i="21"/>
  <c r="P83" i="21"/>
  <c r="N83" i="21"/>
  <c r="H83" i="21"/>
  <c r="D83" i="21"/>
  <c r="L83" i="21" s="1"/>
  <c r="B83" i="21"/>
  <c r="X82" i="21"/>
  <c r="Z82" i="21" s="1"/>
  <c r="N82" i="21"/>
  <c r="L82" i="21"/>
  <c r="J82" i="21"/>
  <c r="B82" i="21"/>
  <c r="T81" i="21"/>
  <c r="P81" i="21"/>
  <c r="X81" i="21" s="1"/>
  <c r="Z81" i="21" s="1"/>
  <c r="H81" i="21"/>
  <c r="D81" i="21"/>
  <c r="L81" i="21" s="1"/>
  <c r="N81" i="21" s="1"/>
  <c r="B81" i="21"/>
  <c r="Z80" i="21"/>
  <c r="X80" i="21"/>
  <c r="L80" i="21"/>
  <c r="N80" i="21" s="1"/>
  <c r="B80" i="21"/>
  <c r="Z79" i="21"/>
  <c r="X79" i="21"/>
  <c r="N79" i="21"/>
  <c r="L79" i="21"/>
  <c r="B79" i="21"/>
  <c r="T78" i="21"/>
  <c r="P78" i="21"/>
  <c r="N78" i="21"/>
  <c r="L78" i="21"/>
  <c r="H78" i="21"/>
  <c r="D78" i="21"/>
  <c r="B78" i="21"/>
  <c r="X77" i="21"/>
  <c r="Z77" i="21" s="1"/>
  <c r="N77" i="21"/>
  <c r="L77" i="21"/>
  <c r="B77" i="21"/>
  <c r="Z76" i="21"/>
  <c r="X76" i="21"/>
  <c r="L76" i="21"/>
  <c r="N76" i="21" s="1"/>
  <c r="B76" i="21"/>
  <c r="Z75" i="21"/>
  <c r="X75" i="21"/>
  <c r="N75" i="21"/>
  <c r="L75" i="21"/>
  <c r="B75" i="21"/>
  <c r="X74" i="21"/>
  <c r="Z74" i="21" s="1"/>
  <c r="N74" i="21"/>
  <c r="L74" i="21"/>
  <c r="J74" i="21"/>
  <c r="B74" i="21"/>
  <c r="Z73" i="21"/>
  <c r="X73" i="21"/>
  <c r="L73" i="21"/>
  <c r="N73" i="21" s="1"/>
  <c r="B73" i="21"/>
  <c r="T72" i="21"/>
  <c r="R72" i="21"/>
  <c r="P72" i="21"/>
  <c r="X72" i="21" s="1"/>
  <c r="Z72" i="21" s="1"/>
  <c r="L72" i="21"/>
  <c r="H72" i="21"/>
  <c r="N72" i="21" s="1"/>
  <c r="D72" i="21"/>
  <c r="B72" i="21"/>
  <c r="Z71" i="21"/>
  <c r="X71" i="21"/>
  <c r="N71" i="21"/>
  <c r="L71" i="21"/>
  <c r="B71" i="21"/>
  <c r="Z70" i="21"/>
  <c r="X70" i="21"/>
  <c r="N70" i="21"/>
  <c r="L70" i="21"/>
  <c r="J70" i="21"/>
  <c r="B70" i="21"/>
  <c r="Z69" i="21"/>
  <c r="X69" i="21"/>
  <c r="L69" i="21"/>
  <c r="N69" i="21" s="1"/>
  <c r="B69" i="21"/>
  <c r="T68" i="21"/>
  <c r="R68" i="21"/>
  <c r="P68" i="21"/>
  <c r="X68" i="21" s="1"/>
  <c r="Z68" i="21" s="1"/>
  <c r="L68" i="21"/>
  <c r="H68" i="21"/>
  <c r="N68" i="21" s="1"/>
  <c r="D68" i="21"/>
  <c r="B68" i="21"/>
  <c r="Z67" i="21"/>
  <c r="X67" i="21"/>
  <c r="N67" i="21"/>
  <c r="L67" i="21"/>
  <c r="B67" i="21"/>
  <c r="X66" i="21"/>
  <c r="T66" i="21"/>
  <c r="Z66" i="21" s="1"/>
  <c r="P66" i="21"/>
  <c r="N66" i="21"/>
  <c r="L66" i="21"/>
  <c r="H66" i="21"/>
  <c r="D66" i="21"/>
  <c r="B66" i="21"/>
  <c r="X65" i="21"/>
  <c r="Z65" i="21" s="1"/>
  <c r="N65" i="21"/>
  <c r="L65" i="21"/>
  <c r="B65" i="21"/>
  <c r="Z64" i="21"/>
  <c r="X64" i="21"/>
  <c r="N64" i="21"/>
  <c r="L64" i="21"/>
  <c r="B64" i="21"/>
  <c r="T63" i="21"/>
  <c r="P63" i="21"/>
  <c r="X63" i="21" s="1"/>
  <c r="Z63" i="21" s="1"/>
  <c r="L63" i="21"/>
  <c r="N63" i="21" s="1"/>
  <c r="H63" i="21"/>
  <c r="D63" i="21"/>
  <c r="B63" i="21"/>
  <c r="Z62" i="21"/>
  <c r="X62" i="21"/>
  <c r="V62" i="21"/>
  <c r="L62" i="21"/>
  <c r="N62" i="21" s="1"/>
  <c r="B62" i="21"/>
  <c r="X61" i="21"/>
  <c r="Z61" i="21" s="1"/>
  <c r="T61" i="21"/>
  <c r="P61" i="21"/>
  <c r="H61" i="21"/>
  <c r="D61" i="21"/>
  <c r="B61" i="21"/>
  <c r="X60" i="21"/>
  <c r="Z60" i="21" s="1"/>
  <c r="N60" i="21"/>
  <c r="L60" i="21"/>
  <c r="B60" i="21"/>
  <c r="T59" i="21"/>
  <c r="P59" i="21"/>
  <c r="H59" i="21"/>
  <c r="D59" i="21"/>
  <c r="L59" i="21" s="1"/>
  <c r="N59" i="21" s="1"/>
  <c r="B59" i="21"/>
  <c r="Z58" i="21"/>
  <c r="X58" i="21"/>
  <c r="N58" i="21"/>
  <c r="L58" i="21"/>
  <c r="J58" i="21"/>
  <c r="B58" i="21"/>
  <c r="Z57" i="21"/>
  <c r="T57" i="21"/>
  <c r="P57" i="21"/>
  <c r="X57" i="21" s="1"/>
  <c r="N57" i="21"/>
  <c r="H57" i="21"/>
  <c r="D57" i="21"/>
  <c r="L57" i="21" s="1"/>
  <c r="B57" i="21"/>
  <c r="Z56" i="21"/>
  <c r="X56" i="21"/>
  <c r="L56" i="21"/>
  <c r="N56" i="21" s="1"/>
  <c r="B56" i="21"/>
  <c r="T55" i="21"/>
  <c r="P55" i="21"/>
  <c r="X55" i="21" s="1"/>
  <c r="Z55" i="21" s="1"/>
  <c r="L55" i="21"/>
  <c r="H55" i="21"/>
  <c r="D55" i="21"/>
  <c r="B55" i="21"/>
  <c r="Z54" i="21"/>
  <c r="X54" i="21"/>
  <c r="V54" i="21"/>
  <c r="L54" i="21"/>
  <c r="N54" i="21" s="1"/>
  <c r="B54" i="21"/>
  <c r="Z53" i="21"/>
  <c r="X53" i="21"/>
  <c r="N53" i="21"/>
  <c r="L53" i="21"/>
  <c r="B53" i="21"/>
  <c r="Z52" i="21"/>
  <c r="T52" i="21"/>
  <c r="X52" i="21" s="1"/>
  <c r="P52" i="21"/>
  <c r="J52" i="21"/>
  <c r="H52" i="21"/>
  <c r="N52" i="21" s="1"/>
  <c r="D52" i="21"/>
  <c r="L52" i="21" s="1"/>
  <c r="B52" i="21"/>
  <c r="Z51" i="21"/>
  <c r="X51" i="21"/>
  <c r="R51" i="21"/>
  <c r="N51" i="21"/>
  <c r="L51" i="21"/>
  <c r="B51" i="21"/>
  <c r="V50" i="21"/>
  <c r="T50" i="21"/>
  <c r="P50" i="21"/>
  <c r="X50" i="21" s="1"/>
  <c r="H50" i="21"/>
  <c r="D50" i="21"/>
  <c r="L50" i="21" s="1"/>
  <c r="N50" i="21" s="1"/>
  <c r="B50" i="21"/>
  <c r="Z49" i="21"/>
  <c r="X49" i="21"/>
  <c r="N49" i="21"/>
  <c r="L49" i="21"/>
  <c r="B49" i="21"/>
  <c r="Z48" i="21"/>
  <c r="T48" i="21"/>
  <c r="R48" i="21"/>
  <c r="P48" i="21"/>
  <c r="X48" i="21" s="1"/>
  <c r="L48" i="21"/>
  <c r="H48" i="21"/>
  <c r="N48" i="21" s="1"/>
  <c r="D48" i="21"/>
  <c r="B48" i="21"/>
  <c r="Z47" i="21"/>
  <c r="X47" i="21"/>
  <c r="N47" i="21"/>
  <c r="L47" i="21"/>
  <c r="B47" i="21"/>
  <c r="X46" i="21"/>
  <c r="T46" i="21"/>
  <c r="Z46" i="21" s="1"/>
  <c r="P46" i="21"/>
  <c r="N46" i="21"/>
  <c r="H46" i="21"/>
  <c r="L46" i="21" s="1"/>
  <c r="D46" i="21"/>
  <c r="B46" i="21"/>
  <c r="Z45" i="21"/>
  <c r="X45" i="21"/>
  <c r="N45" i="21"/>
  <c r="L45" i="21"/>
  <c r="B45" i="21"/>
  <c r="Z44" i="21"/>
  <c r="X44" i="21"/>
  <c r="N44" i="21"/>
  <c r="L44" i="21"/>
  <c r="B44" i="21"/>
  <c r="Z43" i="21"/>
  <c r="X43" i="21"/>
  <c r="N43" i="21"/>
  <c r="L43" i="21"/>
  <c r="B43" i="21"/>
  <c r="Z42" i="21"/>
  <c r="X42" i="21"/>
  <c r="N42" i="21"/>
  <c r="L42" i="21"/>
  <c r="J42" i="21"/>
  <c r="B42" i="21"/>
  <c r="Z41" i="21"/>
  <c r="X41" i="21"/>
  <c r="N41" i="21"/>
  <c r="L41" i="21"/>
  <c r="B41" i="21"/>
  <c r="Z40" i="21"/>
  <c r="X40" i="21"/>
  <c r="N40" i="21"/>
  <c r="L40" i="21"/>
  <c r="B40" i="21"/>
  <c r="Z39" i="21"/>
  <c r="X39" i="21"/>
  <c r="R39" i="21"/>
  <c r="N39" i="21"/>
  <c r="L39" i="21"/>
  <c r="B39" i="21"/>
  <c r="Z38" i="21"/>
  <c r="X38" i="21"/>
  <c r="V38" i="21"/>
  <c r="N38" i="21"/>
  <c r="L38" i="21"/>
  <c r="B38" i="21"/>
  <c r="X37" i="21"/>
  <c r="Z37" i="21" s="1"/>
  <c r="V37" i="21"/>
  <c r="N37" i="21"/>
  <c r="L37" i="21"/>
  <c r="B37" i="21"/>
  <c r="Z36" i="21"/>
  <c r="X36" i="21"/>
  <c r="N36" i="21"/>
  <c r="L36" i="21"/>
  <c r="B36" i="21"/>
  <c r="V35" i="21"/>
  <c r="T35" i="21"/>
  <c r="P35" i="21"/>
  <c r="X35" i="21" s="1"/>
  <c r="Z35" i="21" s="1"/>
  <c r="L35" i="21"/>
  <c r="N35" i="21" s="1"/>
  <c r="H35" i="21"/>
  <c r="D35" i="21"/>
  <c r="B35" i="21"/>
  <c r="Z34" i="21"/>
  <c r="X34" i="21"/>
  <c r="V34" i="21"/>
  <c r="N34" i="21"/>
  <c r="L34" i="21"/>
  <c r="B34" i="21"/>
  <c r="X33" i="21"/>
  <c r="Z33" i="21" s="1"/>
  <c r="V33" i="21"/>
  <c r="N33" i="21"/>
  <c r="L33" i="21"/>
  <c r="B33" i="21"/>
  <c r="Z32" i="21"/>
  <c r="X32" i="21"/>
  <c r="L32" i="21"/>
  <c r="N32" i="21" s="1"/>
  <c r="B32" i="21"/>
  <c r="Z31" i="21"/>
  <c r="X31" i="21"/>
  <c r="V31" i="21"/>
  <c r="N31" i="21"/>
  <c r="L31" i="21"/>
  <c r="B31" i="21"/>
  <c r="X30" i="21"/>
  <c r="Z30" i="21" s="1"/>
  <c r="N30" i="21"/>
  <c r="L30" i="21"/>
  <c r="J30" i="21"/>
  <c r="B30" i="21"/>
  <c r="Z29" i="21"/>
  <c r="X29" i="21"/>
  <c r="L29" i="21"/>
  <c r="N29" i="21" s="1"/>
  <c r="J29" i="21"/>
  <c r="B29" i="21"/>
  <c r="X28" i="21"/>
  <c r="Z28" i="21" s="1"/>
  <c r="N28" i="21"/>
  <c r="L28" i="21"/>
  <c r="B28" i="21"/>
  <c r="Z27" i="21"/>
  <c r="X27" i="21"/>
  <c r="R27" i="21"/>
  <c r="N27" i="21"/>
  <c r="L27" i="21"/>
  <c r="J27" i="21"/>
  <c r="B27" i="21"/>
  <c r="Z26" i="21"/>
  <c r="X26" i="21"/>
  <c r="V26" i="21"/>
  <c r="L26" i="21"/>
  <c r="N26" i="21" s="1"/>
  <c r="B26" i="21"/>
  <c r="X25" i="21"/>
  <c r="V25" i="21"/>
  <c r="T25" i="21"/>
  <c r="P25" i="21"/>
  <c r="H25" i="21"/>
  <c r="D25" i="21"/>
  <c r="B25" i="21"/>
  <c r="T24" i="21"/>
  <c r="R24" i="21"/>
  <c r="P24" i="21"/>
  <c r="X24" i="21" s="1"/>
  <c r="L24" i="21"/>
  <c r="H24" i="21"/>
  <c r="N24" i="21" s="1"/>
  <c r="D24" i="21"/>
  <c r="T22" i="21"/>
  <c r="T88" i="21" s="1"/>
  <c r="Z20" i="21"/>
  <c r="X20" i="21"/>
  <c r="N20" i="21"/>
  <c r="L20" i="21"/>
  <c r="B20" i="21"/>
  <c r="Z19" i="21"/>
  <c r="X19" i="21"/>
  <c r="V19" i="21"/>
  <c r="R19" i="21"/>
  <c r="N19" i="21"/>
  <c r="L19" i="21"/>
  <c r="J19" i="21"/>
  <c r="B19" i="21"/>
  <c r="X18" i="21"/>
  <c r="Z18" i="21" s="1"/>
  <c r="V18" i="21"/>
  <c r="R18" i="21"/>
  <c r="L18" i="21"/>
  <c r="N18" i="21" s="1"/>
  <c r="B18" i="21"/>
  <c r="X17" i="21"/>
  <c r="Z17" i="21" s="1"/>
  <c r="V17" i="21"/>
  <c r="T17" i="21"/>
  <c r="P17" i="21"/>
  <c r="H17" i="21"/>
  <c r="D17" i="21"/>
  <c r="Z15" i="21"/>
  <c r="P15" i="21"/>
  <c r="X15" i="21" s="1"/>
  <c r="N15" i="21"/>
  <c r="D15" i="21"/>
  <c r="B15" i="21"/>
  <c r="X14" i="21"/>
  <c r="Z14" i="21" s="1"/>
  <c r="P14" i="21"/>
  <c r="D14" i="21"/>
  <c r="L14" i="21" s="1"/>
  <c r="N14" i="21" s="1"/>
  <c r="B14" i="21"/>
  <c r="P13" i="21"/>
  <c r="X13" i="21" s="1"/>
  <c r="Z13" i="21" s="1"/>
  <c r="L13" i="21"/>
  <c r="N13" i="21" s="1"/>
  <c r="D13" i="21"/>
  <c r="B13" i="21"/>
  <c r="Z12" i="21"/>
  <c r="X12" i="21"/>
  <c r="T12" i="21"/>
  <c r="P12" i="21"/>
  <c r="R77" i="21" s="1"/>
  <c r="H12" i="21"/>
  <c r="J90" i="21" s="1"/>
  <c r="D4" i="21"/>
  <c r="B39" i="20"/>
  <c r="B38" i="20"/>
  <c r="T34" i="20"/>
  <c r="Z34" i="20" s="1"/>
  <c r="P34" i="20"/>
  <c r="H34" i="20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24" i="20" s="1"/>
  <c r="P12" i="20"/>
  <c r="R20" i="20" s="1"/>
  <c r="H12" i="20"/>
  <c r="J18" i="20" s="1"/>
  <c r="D12" i="20"/>
  <c r="F24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D20" i="19"/>
  <c r="T16" i="19"/>
  <c r="Z16" i="19" s="1"/>
  <c r="P16" i="19"/>
  <c r="H16" i="19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V34" i="19" s="1"/>
  <c r="P12" i="19"/>
  <c r="R34" i="19" s="1"/>
  <c r="H12" i="19"/>
  <c r="J21" i="19" s="1"/>
  <c r="D12" i="19"/>
  <c r="D5" i="19"/>
  <c r="D4" i="19"/>
  <c r="Z157" i="18"/>
  <c r="X157" i="18"/>
  <c r="L157" i="18"/>
  <c r="N157" i="18" s="1"/>
  <c r="Z153" i="18"/>
  <c r="X153" i="18"/>
  <c r="P153" i="18"/>
  <c r="N153" i="18"/>
  <c r="D153" i="18"/>
  <c r="L153" i="18" s="1"/>
  <c r="B153" i="18"/>
  <c r="Z152" i="18"/>
  <c r="X152" i="18"/>
  <c r="P152" i="18"/>
  <c r="N152" i="18"/>
  <c r="L152" i="18"/>
  <c r="D152" i="18"/>
  <c r="B152" i="18"/>
  <c r="Z151" i="18"/>
  <c r="P151" i="18"/>
  <c r="X151" i="18" s="1"/>
  <c r="N151" i="18"/>
  <c r="L151" i="18"/>
  <c r="D151" i="18"/>
  <c r="B151" i="18"/>
  <c r="Z150" i="18"/>
  <c r="X150" i="18"/>
  <c r="P150" i="18"/>
  <c r="D150" i="18"/>
  <c r="L150" i="18" s="1"/>
  <c r="N150" i="18" s="1"/>
  <c r="B150" i="18"/>
  <c r="P149" i="18"/>
  <c r="X149" i="18" s="1"/>
  <c r="Z149" i="18" s="1"/>
  <c r="N149" i="18"/>
  <c r="L149" i="18"/>
  <c r="D149" i="18"/>
  <c r="B149" i="18"/>
  <c r="Z148" i="18"/>
  <c r="X148" i="18"/>
  <c r="P148" i="18"/>
  <c r="N148" i="18"/>
  <c r="D148" i="18"/>
  <c r="L148" i="18" s="1"/>
  <c r="B148" i="18"/>
  <c r="Z147" i="18"/>
  <c r="P147" i="18"/>
  <c r="X147" i="18" s="1"/>
  <c r="N147" i="18"/>
  <c r="L147" i="18"/>
  <c r="J147" i="18"/>
  <c r="D147" i="18"/>
  <c r="B147" i="18"/>
  <c r="T146" i="18"/>
  <c r="P146" i="18"/>
  <c r="X146" i="18" s="1"/>
  <c r="H146" i="18"/>
  <c r="Z144" i="18"/>
  <c r="X144" i="18"/>
  <c r="L144" i="18"/>
  <c r="N144" i="18" s="1"/>
  <c r="B144" i="18"/>
  <c r="T143" i="18"/>
  <c r="P143" i="18"/>
  <c r="X143" i="18" s="1"/>
  <c r="Z143" i="18" s="1"/>
  <c r="L143" i="18"/>
  <c r="N143" i="18" s="1"/>
  <c r="H143" i="18"/>
  <c r="D143" i="18"/>
  <c r="B143" i="18"/>
  <c r="X142" i="18"/>
  <c r="Z142" i="18" s="1"/>
  <c r="L142" i="18"/>
  <c r="N142" i="18" s="1"/>
  <c r="B142" i="18"/>
  <c r="X141" i="18"/>
  <c r="Z141" i="18" s="1"/>
  <c r="N141" i="18"/>
  <c r="L141" i="18"/>
  <c r="B141" i="18"/>
  <c r="Z140" i="18"/>
  <c r="X140" i="18"/>
  <c r="L140" i="18"/>
  <c r="N140" i="18" s="1"/>
  <c r="B140" i="18"/>
  <c r="T139" i="18"/>
  <c r="P139" i="18"/>
  <c r="X139" i="18" s="1"/>
  <c r="Z139" i="18" s="1"/>
  <c r="L139" i="18"/>
  <c r="N139" i="18" s="1"/>
  <c r="H139" i="18"/>
  <c r="D139" i="18"/>
  <c r="B139" i="18"/>
  <c r="X138" i="18"/>
  <c r="Z138" i="18" s="1"/>
  <c r="L138" i="18"/>
  <c r="N138" i="18" s="1"/>
  <c r="B138" i="18"/>
  <c r="Z137" i="18"/>
  <c r="X137" i="18"/>
  <c r="N137" i="18"/>
  <c r="L137" i="18"/>
  <c r="B137" i="18"/>
  <c r="Z136" i="18"/>
  <c r="X136" i="18"/>
  <c r="T136" i="18"/>
  <c r="P136" i="18"/>
  <c r="J136" i="18"/>
  <c r="H136" i="18"/>
  <c r="D136" i="18"/>
  <c r="L136" i="18" s="1"/>
  <c r="B136" i="18"/>
  <c r="Z135" i="18"/>
  <c r="X135" i="18"/>
  <c r="N135" i="18"/>
  <c r="L135" i="18"/>
  <c r="B135" i="18"/>
  <c r="X134" i="18"/>
  <c r="Z134" i="18" s="1"/>
  <c r="L134" i="18"/>
  <c r="N134" i="18" s="1"/>
  <c r="B134" i="18"/>
  <c r="X133" i="18"/>
  <c r="Z133" i="18" s="1"/>
  <c r="N133" i="18"/>
  <c r="L133" i="18"/>
  <c r="B133" i="18"/>
  <c r="Z132" i="18"/>
  <c r="X132" i="18"/>
  <c r="L132" i="18"/>
  <c r="N132" i="18" s="1"/>
  <c r="B132" i="18"/>
  <c r="Z131" i="18"/>
  <c r="X131" i="18"/>
  <c r="N131" i="18"/>
  <c r="L131" i="18"/>
  <c r="B131" i="18"/>
  <c r="X130" i="18"/>
  <c r="Z130" i="18" s="1"/>
  <c r="L130" i="18"/>
  <c r="N130" i="18" s="1"/>
  <c r="J130" i="18"/>
  <c r="B130" i="18"/>
  <c r="T129" i="18"/>
  <c r="P129" i="18"/>
  <c r="X129" i="18" s="1"/>
  <c r="Z129" i="18" s="1"/>
  <c r="H129" i="18"/>
  <c r="D129" i="18"/>
  <c r="L129" i="18" s="1"/>
  <c r="N129" i="18" s="1"/>
  <c r="B129" i="18"/>
  <c r="Z128" i="18"/>
  <c r="X128" i="18"/>
  <c r="L128" i="18"/>
  <c r="N128" i="18" s="1"/>
  <c r="B128" i="18"/>
  <c r="Z127" i="18"/>
  <c r="X127" i="18"/>
  <c r="N127" i="18"/>
  <c r="L127" i="18"/>
  <c r="B127" i="18"/>
  <c r="T126" i="18"/>
  <c r="P126" i="18"/>
  <c r="N126" i="18"/>
  <c r="L126" i="18"/>
  <c r="H126" i="18"/>
  <c r="D126" i="18"/>
  <c r="B126" i="18"/>
  <c r="Z125" i="18"/>
  <c r="X125" i="18"/>
  <c r="N125" i="18"/>
  <c r="L125" i="18"/>
  <c r="B125" i="18"/>
  <c r="Z124" i="18"/>
  <c r="X124" i="18"/>
  <c r="L124" i="18"/>
  <c r="N124" i="18" s="1"/>
  <c r="B124" i="18"/>
  <c r="Z123" i="18"/>
  <c r="X123" i="18"/>
  <c r="N123" i="18"/>
  <c r="L123" i="18"/>
  <c r="B123" i="18"/>
  <c r="T122" i="18"/>
  <c r="P122" i="18"/>
  <c r="X122" i="18" s="1"/>
  <c r="N122" i="18"/>
  <c r="L122" i="18"/>
  <c r="H122" i="18"/>
  <c r="D122" i="18"/>
  <c r="B122" i="18"/>
  <c r="X121" i="18"/>
  <c r="Z121" i="18" s="1"/>
  <c r="N121" i="18"/>
  <c r="L121" i="18"/>
  <c r="B121" i="18"/>
  <c r="Z120" i="18"/>
  <c r="X120" i="18"/>
  <c r="N120" i="18"/>
  <c r="L120" i="18"/>
  <c r="B120" i="18"/>
  <c r="Z119" i="18"/>
  <c r="X119" i="18"/>
  <c r="N119" i="18"/>
  <c r="L119" i="18"/>
  <c r="B119" i="18"/>
  <c r="X118" i="18"/>
  <c r="Z118" i="18" s="1"/>
  <c r="L118" i="18"/>
  <c r="N118" i="18" s="1"/>
  <c r="J118" i="18"/>
  <c r="B118" i="18"/>
  <c r="T117" i="18"/>
  <c r="Z117" i="18" s="1"/>
  <c r="P117" i="18"/>
  <c r="X117" i="18" s="1"/>
  <c r="H117" i="18"/>
  <c r="D117" i="18"/>
  <c r="L117" i="18" s="1"/>
  <c r="N117" i="18" s="1"/>
  <c r="B117" i="18"/>
  <c r="Z116" i="18"/>
  <c r="X116" i="18"/>
  <c r="L116" i="18"/>
  <c r="N116" i="18" s="1"/>
  <c r="B116" i="18"/>
  <c r="Z115" i="18"/>
  <c r="X115" i="18"/>
  <c r="L115" i="18"/>
  <c r="N115" i="18" s="1"/>
  <c r="B115" i="18"/>
  <c r="X114" i="18"/>
  <c r="Z114" i="18" s="1"/>
  <c r="L114" i="18"/>
  <c r="N114" i="18" s="1"/>
  <c r="J114" i="18"/>
  <c r="B114" i="18"/>
  <c r="Z113" i="18"/>
  <c r="X113" i="18"/>
  <c r="L113" i="18"/>
  <c r="N113" i="18" s="1"/>
  <c r="B113" i="18"/>
  <c r="T112" i="18"/>
  <c r="P112" i="18"/>
  <c r="X112" i="18" s="1"/>
  <c r="H112" i="18"/>
  <c r="D112" i="18"/>
  <c r="L112" i="18" s="1"/>
  <c r="B112" i="18"/>
  <c r="Z111" i="18"/>
  <c r="X111" i="18"/>
  <c r="L111" i="18"/>
  <c r="N111" i="18" s="1"/>
  <c r="B111" i="18"/>
  <c r="T110" i="18"/>
  <c r="P110" i="18"/>
  <c r="X110" i="18" s="1"/>
  <c r="N110" i="18"/>
  <c r="L110" i="18"/>
  <c r="H110" i="18"/>
  <c r="D110" i="18"/>
  <c r="B110" i="18"/>
  <c r="X109" i="18"/>
  <c r="Z109" i="18" s="1"/>
  <c r="N109" i="18"/>
  <c r="L109" i="18"/>
  <c r="B109" i="18"/>
  <c r="Z108" i="18"/>
  <c r="X108" i="18"/>
  <c r="T108" i="18"/>
  <c r="P108" i="18"/>
  <c r="J108" i="18"/>
  <c r="H108" i="18"/>
  <c r="N108" i="18" s="1"/>
  <c r="D108" i="18"/>
  <c r="B108" i="18"/>
  <c r="X107" i="18"/>
  <c r="Z107" i="18" s="1"/>
  <c r="N107" i="18"/>
  <c r="L107" i="18"/>
  <c r="B107" i="18"/>
  <c r="T106" i="18"/>
  <c r="P106" i="18"/>
  <c r="H106" i="18"/>
  <c r="D106" i="18"/>
  <c r="L106" i="18" s="1"/>
  <c r="B106" i="18"/>
  <c r="Z105" i="18"/>
  <c r="X105" i="18"/>
  <c r="L105" i="18"/>
  <c r="N105" i="18" s="1"/>
  <c r="B105" i="18"/>
  <c r="T104" i="18"/>
  <c r="P104" i="18"/>
  <c r="X104" i="18" s="1"/>
  <c r="H104" i="18"/>
  <c r="N104" i="18" s="1"/>
  <c r="D104" i="18"/>
  <c r="L104" i="18" s="1"/>
  <c r="B104" i="18"/>
  <c r="Z103" i="18"/>
  <c r="X103" i="18"/>
  <c r="N103" i="18"/>
  <c r="L103" i="18"/>
  <c r="B103" i="18"/>
  <c r="X102" i="18"/>
  <c r="Z102" i="18" s="1"/>
  <c r="N102" i="18"/>
  <c r="L102" i="18"/>
  <c r="J102" i="18"/>
  <c r="B102" i="18"/>
  <c r="T101" i="18"/>
  <c r="Z101" i="18" s="1"/>
  <c r="P101" i="18"/>
  <c r="X101" i="18" s="1"/>
  <c r="H101" i="18"/>
  <c r="D101" i="18"/>
  <c r="L101" i="18" s="1"/>
  <c r="N101" i="18" s="1"/>
  <c r="B101" i="18"/>
  <c r="Z100" i="18"/>
  <c r="X100" i="18"/>
  <c r="L100" i="18"/>
  <c r="N100" i="18" s="1"/>
  <c r="B100" i="18"/>
  <c r="Z99" i="18"/>
  <c r="X99" i="18"/>
  <c r="N99" i="18"/>
  <c r="L99" i="18"/>
  <c r="B99" i="18"/>
  <c r="T98" i="18"/>
  <c r="P98" i="18"/>
  <c r="X98" i="18" s="1"/>
  <c r="N98" i="18"/>
  <c r="L98" i="18"/>
  <c r="H98" i="18"/>
  <c r="D98" i="18"/>
  <c r="B98" i="18"/>
  <c r="X97" i="18"/>
  <c r="Z97" i="18" s="1"/>
  <c r="N97" i="18"/>
  <c r="L97" i="18"/>
  <c r="B97" i="18"/>
  <c r="Z96" i="18"/>
  <c r="X96" i="18"/>
  <c r="T96" i="18"/>
  <c r="P96" i="18"/>
  <c r="J96" i="18"/>
  <c r="H96" i="18"/>
  <c r="D96" i="18"/>
  <c r="B96" i="18"/>
  <c r="X95" i="18"/>
  <c r="Z95" i="18" s="1"/>
  <c r="N95" i="18"/>
  <c r="L95" i="18"/>
  <c r="B95" i="18"/>
  <c r="T94" i="18"/>
  <c r="P94" i="18"/>
  <c r="H94" i="18"/>
  <c r="N94" i="18" s="1"/>
  <c r="D94" i="18"/>
  <c r="L94" i="18" s="1"/>
  <c r="B94" i="18"/>
  <c r="Z93" i="18"/>
  <c r="X93" i="18"/>
  <c r="L93" i="18"/>
  <c r="N93" i="18" s="1"/>
  <c r="B93" i="18"/>
  <c r="T92" i="18"/>
  <c r="Z92" i="18" s="1"/>
  <c r="P92" i="18"/>
  <c r="X92" i="18" s="1"/>
  <c r="H92" i="18"/>
  <c r="D92" i="18"/>
  <c r="L92" i="18" s="1"/>
  <c r="B92" i="18"/>
  <c r="Z91" i="18"/>
  <c r="X91" i="18"/>
  <c r="N91" i="18"/>
  <c r="L91" i="18"/>
  <c r="B91" i="18"/>
  <c r="Z90" i="18"/>
  <c r="X90" i="18"/>
  <c r="N90" i="18"/>
  <c r="L90" i="18"/>
  <c r="J90" i="18"/>
  <c r="B90" i="18"/>
  <c r="T89" i="18"/>
  <c r="Z89" i="18" s="1"/>
  <c r="P89" i="18"/>
  <c r="X89" i="18" s="1"/>
  <c r="N89" i="18"/>
  <c r="H89" i="18"/>
  <c r="D89" i="18"/>
  <c r="L89" i="18" s="1"/>
  <c r="B89" i="18"/>
  <c r="Z88" i="18"/>
  <c r="X88" i="18"/>
  <c r="L88" i="18"/>
  <c r="N88" i="18" s="1"/>
  <c r="B88" i="18"/>
  <c r="Z87" i="18"/>
  <c r="X87" i="18"/>
  <c r="N87" i="18"/>
  <c r="L87" i="18"/>
  <c r="B87" i="18"/>
  <c r="T86" i="18"/>
  <c r="P86" i="18"/>
  <c r="X86" i="18" s="1"/>
  <c r="N86" i="18"/>
  <c r="L86" i="18"/>
  <c r="H86" i="18"/>
  <c r="D86" i="18"/>
  <c r="B86" i="18"/>
  <c r="X85" i="18"/>
  <c r="Z85" i="18" s="1"/>
  <c r="N85" i="18"/>
  <c r="L85" i="18"/>
  <c r="B85" i="18"/>
  <c r="Z84" i="18"/>
  <c r="X84" i="18"/>
  <c r="T84" i="18"/>
  <c r="P84" i="18"/>
  <c r="J84" i="18"/>
  <c r="H84" i="18"/>
  <c r="D84" i="18"/>
  <c r="B84" i="18"/>
  <c r="Z83" i="18"/>
  <c r="X83" i="18"/>
  <c r="N83" i="18"/>
  <c r="L83" i="18"/>
  <c r="B83" i="18"/>
  <c r="T82" i="18"/>
  <c r="P82" i="18"/>
  <c r="H82" i="18"/>
  <c r="D82" i="18"/>
  <c r="L82" i="18" s="1"/>
  <c r="B82" i="18"/>
  <c r="X81" i="18"/>
  <c r="Z81" i="18" s="1"/>
  <c r="L81" i="18"/>
  <c r="N81" i="18" s="1"/>
  <c r="B81" i="18"/>
  <c r="T80" i="18"/>
  <c r="P80" i="18"/>
  <c r="X80" i="18" s="1"/>
  <c r="H80" i="18"/>
  <c r="N80" i="18" s="1"/>
  <c r="D80" i="18"/>
  <c r="L80" i="18" s="1"/>
  <c r="B80" i="18"/>
  <c r="Z79" i="18"/>
  <c r="X79" i="18"/>
  <c r="N79" i="18"/>
  <c r="L79" i="18"/>
  <c r="B79" i="18"/>
  <c r="Z78" i="18"/>
  <c r="X78" i="18"/>
  <c r="N78" i="18"/>
  <c r="L78" i="18"/>
  <c r="J78" i="18"/>
  <c r="B78" i="18"/>
  <c r="Z77" i="18"/>
  <c r="X77" i="18"/>
  <c r="L77" i="18"/>
  <c r="N77" i="18" s="1"/>
  <c r="B77" i="18"/>
  <c r="X76" i="18"/>
  <c r="Z76" i="18" s="1"/>
  <c r="N76" i="18"/>
  <c r="L76" i="18"/>
  <c r="B76" i="18"/>
  <c r="Z75" i="18"/>
  <c r="X75" i="18"/>
  <c r="N75" i="18"/>
  <c r="L75" i="18"/>
  <c r="B75" i="18"/>
  <c r="X74" i="18"/>
  <c r="Z74" i="18" s="1"/>
  <c r="L74" i="18"/>
  <c r="N74" i="18" s="1"/>
  <c r="B74" i="18"/>
  <c r="X73" i="18"/>
  <c r="Z73" i="18" s="1"/>
  <c r="N73" i="18"/>
  <c r="L73" i="18"/>
  <c r="B73" i="18"/>
  <c r="Z72" i="18"/>
  <c r="X72" i="18"/>
  <c r="N72" i="18"/>
  <c r="L72" i="18"/>
  <c r="B72" i="18"/>
  <c r="Z71" i="18"/>
  <c r="X71" i="18"/>
  <c r="N71" i="18"/>
  <c r="L71" i="18"/>
  <c r="B71" i="18"/>
  <c r="X70" i="18"/>
  <c r="Z70" i="18" s="1"/>
  <c r="L70" i="18"/>
  <c r="N70" i="18" s="1"/>
  <c r="J70" i="18"/>
  <c r="B70" i="18"/>
  <c r="T69" i="18"/>
  <c r="Z69" i="18" s="1"/>
  <c r="P69" i="18"/>
  <c r="X69" i="18" s="1"/>
  <c r="N69" i="18"/>
  <c r="L69" i="18"/>
  <c r="H69" i="18"/>
  <c r="D69" i="18"/>
  <c r="B69" i="18"/>
  <c r="Z68" i="18"/>
  <c r="X68" i="18"/>
  <c r="L68" i="18"/>
  <c r="N68" i="18" s="1"/>
  <c r="B68" i="18"/>
  <c r="Z67" i="18"/>
  <c r="X67" i="18"/>
  <c r="N67" i="18"/>
  <c r="L67" i="18"/>
  <c r="B67" i="18"/>
  <c r="Z66" i="18"/>
  <c r="X66" i="18"/>
  <c r="L66" i="18"/>
  <c r="N66" i="18" s="1"/>
  <c r="J66" i="18"/>
  <c r="B66" i="18"/>
  <c r="Z65" i="18"/>
  <c r="X65" i="18"/>
  <c r="N65" i="18"/>
  <c r="L65" i="18"/>
  <c r="B65" i="18"/>
  <c r="Z64" i="18"/>
  <c r="X64" i="18"/>
  <c r="N64" i="18"/>
  <c r="L64" i="18"/>
  <c r="B64" i="18"/>
  <c r="Z63" i="18"/>
  <c r="X63" i="18"/>
  <c r="N63" i="18"/>
  <c r="L63" i="18"/>
  <c r="B63" i="18"/>
  <c r="X62" i="18"/>
  <c r="Z62" i="18" s="1"/>
  <c r="N62" i="18"/>
  <c r="L62" i="18"/>
  <c r="B62" i="18"/>
  <c r="X61" i="18"/>
  <c r="Z61" i="18" s="1"/>
  <c r="N61" i="18"/>
  <c r="L61" i="18"/>
  <c r="B61" i="18"/>
  <c r="Z60" i="18"/>
  <c r="X60" i="18"/>
  <c r="L60" i="18"/>
  <c r="N60" i="18" s="1"/>
  <c r="B60" i="18"/>
  <c r="Z59" i="18"/>
  <c r="X59" i="18"/>
  <c r="N59" i="18"/>
  <c r="L59" i="18"/>
  <c r="B59" i="18"/>
  <c r="T58" i="18"/>
  <c r="P58" i="18"/>
  <c r="X58" i="18" s="1"/>
  <c r="N58" i="18"/>
  <c r="L58" i="18"/>
  <c r="H58" i="18"/>
  <c r="D58" i="18"/>
  <c r="B58" i="18"/>
  <c r="X57" i="18"/>
  <c r="T57" i="18"/>
  <c r="P57" i="18"/>
  <c r="H57" i="18"/>
  <c r="D57" i="18"/>
  <c r="Z53" i="18"/>
  <c r="X53" i="18"/>
  <c r="N53" i="18"/>
  <c r="L53" i="18"/>
  <c r="B53" i="18"/>
  <c r="Z52" i="18"/>
  <c r="X52" i="18"/>
  <c r="N52" i="18"/>
  <c r="L52" i="18"/>
  <c r="B52" i="18"/>
  <c r="Z51" i="18"/>
  <c r="X51" i="18"/>
  <c r="N51" i="18"/>
  <c r="L51" i="18"/>
  <c r="B51" i="18"/>
  <c r="Z50" i="18"/>
  <c r="X50" i="18"/>
  <c r="N50" i="18"/>
  <c r="L50" i="18"/>
  <c r="J50" i="18"/>
  <c r="B50" i="18"/>
  <c r="Z49" i="18"/>
  <c r="X49" i="18"/>
  <c r="N49" i="18"/>
  <c r="L49" i="18"/>
  <c r="B49" i="18"/>
  <c r="Z48" i="18"/>
  <c r="X48" i="18"/>
  <c r="N48" i="18"/>
  <c r="L48" i="18"/>
  <c r="B48" i="18"/>
  <c r="Z47" i="18"/>
  <c r="X47" i="18"/>
  <c r="N47" i="18"/>
  <c r="L47" i="18"/>
  <c r="B47" i="18"/>
  <c r="Z46" i="18"/>
  <c r="X46" i="18"/>
  <c r="N46" i="18"/>
  <c r="L46" i="18"/>
  <c r="B46" i="18"/>
  <c r="Z45" i="18"/>
  <c r="X45" i="18"/>
  <c r="N45" i="18"/>
  <c r="L45" i="18"/>
  <c r="B45" i="18"/>
  <c r="Z44" i="18"/>
  <c r="X44" i="18"/>
  <c r="N44" i="18"/>
  <c r="L44" i="18"/>
  <c r="B44" i="18"/>
  <c r="Z43" i="18"/>
  <c r="X43" i="18"/>
  <c r="N43" i="18"/>
  <c r="L43" i="18"/>
  <c r="B43" i="18"/>
  <c r="Z42" i="18"/>
  <c r="X42" i="18"/>
  <c r="N42" i="18"/>
  <c r="L42" i="18"/>
  <c r="J42" i="18"/>
  <c r="B42" i="18"/>
  <c r="Z41" i="18"/>
  <c r="X41" i="18"/>
  <c r="N41" i="18"/>
  <c r="L41" i="18"/>
  <c r="B41" i="18"/>
  <c r="Z40" i="18"/>
  <c r="X40" i="18"/>
  <c r="N40" i="18"/>
  <c r="L40" i="18"/>
  <c r="B40" i="18"/>
  <c r="Z39" i="18"/>
  <c r="X39" i="18"/>
  <c r="N39" i="18"/>
  <c r="L39" i="18"/>
  <c r="B39" i="18"/>
  <c r="Z38" i="18"/>
  <c r="X38" i="18"/>
  <c r="N38" i="18"/>
  <c r="L38" i="18"/>
  <c r="B38" i="18"/>
  <c r="Z37" i="18"/>
  <c r="X37" i="18"/>
  <c r="N37" i="18"/>
  <c r="L37" i="18"/>
  <c r="B37" i="18"/>
  <c r="Z36" i="18"/>
  <c r="X36" i="18"/>
  <c r="N36" i="18"/>
  <c r="L36" i="18"/>
  <c r="B36" i="18"/>
  <c r="Z35" i="18"/>
  <c r="X35" i="18"/>
  <c r="N35" i="18"/>
  <c r="L35" i="18"/>
  <c r="B35" i="18"/>
  <c r="Z34" i="18"/>
  <c r="X34" i="18"/>
  <c r="N34" i="18"/>
  <c r="L34" i="18"/>
  <c r="J34" i="18"/>
  <c r="B34" i="18"/>
  <c r="Z33" i="18"/>
  <c r="X33" i="18"/>
  <c r="N33" i="18"/>
  <c r="L33" i="18"/>
  <c r="B33" i="18"/>
  <c r="Z32" i="18"/>
  <c r="X32" i="18"/>
  <c r="N32" i="18"/>
  <c r="L32" i="18"/>
  <c r="B32" i="18"/>
  <c r="Z31" i="18"/>
  <c r="X31" i="18"/>
  <c r="N31" i="18"/>
  <c r="L31" i="18"/>
  <c r="B31" i="18"/>
  <c r="Z30" i="18"/>
  <c r="X30" i="18"/>
  <c r="N30" i="18"/>
  <c r="L30" i="18"/>
  <c r="B30" i="18"/>
  <c r="Z29" i="18"/>
  <c r="X29" i="18"/>
  <c r="N29" i="18"/>
  <c r="L29" i="18"/>
  <c r="B29" i="18"/>
  <c r="Z28" i="18"/>
  <c r="X28" i="18"/>
  <c r="N28" i="18"/>
  <c r="L28" i="18"/>
  <c r="B28" i="18"/>
  <c r="Z27" i="18"/>
  <c r="X27" i="18"/>
  <c r="N27" i="18"/>
  <c r="L27" i="18"/>
  <c r="B27" i="18"/>
  <c r="Z26" i="18"/>
  <c r="X26" i="18"/>
  <c r="N26" i="18"/>
  <c r="L26" i="18"/>
  <c r="J26" i="18"/>
  <c r="B26" i="18"/>
  <c r="Z25" i="18"/>
  <c r="X25" i="18"/>
  <c r="N25" i="18"/>
  <c r="L25" i="18"/>
  <c r="B25" i="18"/>
  <c r="Z24" i="18"/>
  <c r="X24" i="18"/>
  <c r="N24" i="18"/>
  <c r="L24" i="18"/>
  <c r="J24" i="18"/>
  <c r="B24" i="18"/>
  <c r="Z23" i="18"/>
  <c r="X23" i="18"/>
  <c r="N23" i="18"/>
  <c r="L23" i="18"/>
  <c r="B23" i="18"/>
  <c r="Z22" i="18"/>
  <c r="X22" i="18"/>
  <c r="N22" i="18"/>
  <c r="L22" i="18"/>
  <c r="B22" i="18"/>
  <c r="X21" i="18"/>
  <c r="Z21" i="18" s="1"/>
  <c r="L21" i="18"/>
  <c r="N21" i="18" s="1"/>
  <c r="B21" i="18"/>
  <c r="Z20" i="18"/>
  <c r="X20" i="18"/>
  <c r="T20" i="18"/>
  <c r="P20" i="18"/>
  <c r="J20" i="18"/>
  <c r="H20" i="18"/>
  <c r="D20" i="18"/>
  <c r="Z18" i="18"/>
  <c r="X18" i="18"/>
  <c r="P18" i="18"/>
  <c r="N18" i="18"/>
  <c r="L18" i="18"/>
  <c r="D18" i="18"/>
  <c r="B18" i="18"/>
  <c r="Z17" i="18"/>
  <c r="X17" i="18"/>
  <c r="P17" i="18"/>
  <c r="N17" i="18"/>
  <c r="D17" i="18"/>
  <c r="L17" i="18" s="1"/>
  <c r="B17" i="18"/>
  <c r="Z16" i="18"/>
  <c r="P16" i="18"/>
  <c r="X16" i="18" s="1"/>
  <c r="N16" i="18"/>
  <c r="D16" i="18"/>
  <c r="L16" i="18" s="1"/>
  <c r="B16" i="18"/>
  <c r="Z15" i="18"/>
  <c r="X15" i="18"/>
  <c r="P15" i="18"/>
  <c r="N15" i="18"/>
  <c r="L15" i="18"/>
  <c r="D15" i="18"/>
  <c r="B15" i="18"/>
  <c r="P14" i="18"/>
  <c r="X14" i="18" s="1"/>
  <c r="Z14" i="18" s="1"/>
  <c r="L14" i="18"/>
  <c r="N14" i="18" s="1"/>
  <c r="D14" i="18"/>
  <c r="B14" i="18"/>
  <c r="X13" i="18"/>
  <c r="Z13" i="18" s="1"/>
  <c r="P13" i="18"/>
  <c r="D13" i="18"/>
  <c r="L13" i="18" s="1"/>
  <c r="N13" i="18" s="1"/>
  <c r="B13" i="18"/>
  <c r="T12" i="18"/>
  <c r="V148" i="18" s="1"/>
  <c r="H12" i="18"/>
  <c r="J149" i="18" s="1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24" i="17" s="1"/>
  <c r="P12" i="17"/>
  <c r="R24" i="17" s="1"/>
  <c r="H12" i="17"/>
  <c r="J22" i="17" s="1"/>
  <c r="D12" i="17"/>
  <c r="F36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P13" i="16"/>
  <c r="H13" i="16"/>
  <c r="N13" i="16" s="1"/>
  <c r="D13" i="16"/>
  <c r="B13" i="16"/>
  <c r="T12" i="16"/>
  <c r="V21" i="16" s="1"/>
  <c r="P12" i="16"/>
  <c r="R34" i="16" s="1"/>
  <c r="H12" i="16"/>
  <c r="J36" i="16" s="1"/>
  <c r="D12" i="16"/>
  <c r="F21" i="16" s="1"/>
  <c r="D5" i="16"/>
  <c r="D4" i="16"/>
  <c r="X149" i="15"/>
  <c r="Z149" i="15" s="1"/>
  <c r="N149" i="15"/>
  <c r="L149" i="15"/>
  <c r="Z145" i="15"/>
  <c r="X145" i="15"/>
  <c r="P145" i="15"/>
  <c r="N145" i="15"/>
  <c r="D145" i="15"/>
  <c r="L145" i="15" s="1"/>
  <c r="B145" i="15"/>
  <c r="Z144" i="15"/>
  <c r="P144" i="15"/>
  <c r="X144" i="15" s="1"/>
  <c r="N144" i="15"/>
  <c r="L144" i="15"/>
  <c r="D144" i="15"/>
  <c r="B144" i="15"/>
  <c r="Z143" i="15"/>
  <c r="P143" i="15"/>
  <c r="X143" i="15" s="1"/>
  <c r="N143" i="15"/>
  <c r="D143" i="15"/>
  <c r="L143" i="15" s="1"/>
  <c r="B143" i="15"/>
  <c r="P142" i="15"/>
  <c r="X142" i="15" s="1"/>
  <c r="Z142" i="15" s="1"/>
  <c r="D142" i="15"/>
  <c r="L142" i="15" s="1"/>
  <c r="N142" i="15" s="1"/>
  <c r="B142" i="15"/>
  <c r="P141" i="15"/>
  <c r="X141" i="15" s="1"/>
  <c r="Z141" i="15" s="1"/>
  <c r="D141" i="15"/>
  <c r="L141" i="15" s="1"/>
  <c r="N141" i="15" s="1"/>
  <c r="B141" i="15"/>
  <c r="T140" i="15"/>
  <c r="H140" i="15"/>
  <c r="D140" i="15"/>
  <c r="L140" i="15" s="1"/>
  <c r="Z138" i="15"/>
  <c r="X138" i="15"/>
  <c r="L138" i="15"/>
  <c r="N138" i="15" s="1"/>
  <c r="B138" i="15"/>
  <c r="X137" i="15"/>
  <c r="Z137" i="15" s="1"/>
  <c r="T137" i="15"/>
  <c r="P137" i="15"/>
  <c r="L137" i="15"/>
  <c r="H137" i="15"/>
  <c r="N137" i="15" s="1"/>
  <c r="D137" i="15"/>
  <c r="B137" i="15"/>
  <c r="X136" i="15"/>
  <c r="Z136" i="15" s="1"/>
  <c r="N136" i="15"/>
  <c r="L136" i="15"/>
  <c r="B136" i="15"/>
  <c r="X135" i="15"/>
  <c r="Z135" i="15" s="1"/>
  <c r="N135" i="15"/>
  <c r="L135" i="15"/>
  <c r="B135" i="15"/>
  <c r="Z134" i="15"/>
  <c r="X134" i="15"/>
  <c r="L134" i="15"/>
  <c r="N134" i="15" s="1"/>
  <c r="B134" i="15"/>
  <c r="X133" i="15"/>
  <c r="T133" i="15"/>
  <c r="Z133" i="15" s="1"/>
  <c r="P133" i="15"/>
  <c r="L133" i="15"/>
  <c r="H133" i="15"/>
  <c r="N133" i="15" s="1"/>
  <c r="D133" i="15"/>
  <c r="B133" i="15"/>
  <c r="X132" i="15"/>
  <c r="Z132" i="15" s="1"/>
  <c r="N132" i="15"/>
  <c r="L132" i="15"/>
  <c r="B132" i="15"/>
  <c r="Z131" i="15"/>
  <c r="X131" i="15"/>
  <c r="N131" i="15"/>
  <c r="L131" i="15"/>
  <c r="B131" i="15"/>
  <c r="Z130" i="15"/>
  <c r="T130" i="15"/>
  <c r="P130" i="15"/>
  <c r="X130" i="15" s="1"/>
  <c r="N130" i="15"/>
  <c r="L130" i="15"/>
  <c r="H130" i="15"/>
  <c r="D130" i="15"/>
  <c r="B130" i="15"/>
  <c r="Z129" i="15"/>
  <c r="X129" i="15"/>
  <c r="L129" i="15"/>
  <c r="N129" i="15" s="1"/>
  <c r="B129" i="15"/>
  <c r="Z128" i="15"/>
  <c r="X128" i="15"/>
  <c r="N128" i="15"/>
  <c r="L128" i="15"/>
  <c r="B128" i="15"/>
  <c r="X127" i="15"/>
  <c r="Z127" i="15" s="1"/>
  <c r="L127" i="15"/>
  <c r="N127" i="15" s="1"/>
  <c r="B127" i="15"/>
  <c r="Z126" i="15"/>
  <c r="X126" i="15"/>
  <c r="N126" i="15"/>
  <c r="L126" i="15"/>
  <c r="B126" i="15"/>
  <c r="X125" i="15"/>
  <c r="Z125" i="15" s="1"/>
  <c r="N125" i="15"/>
  <c r="L125" i="15"/>
  <c r="B125" i="15"/>
  <c r="X124" i="15"/>
  <c r="Z124" i="15" s="1"/>
  <c r="N124" i="15"/>
  <c r="L124" i="15"/>
  <c r="B124" i="15"/>
  <c r="T123" i="15"/>
  <c r="P123" i="15"/>
  <c r="X123" i="15" s="1"/>
  <c r="H123" i="15"/>
  <c r="D123" i="15"/>
  <c r="L123" i="15" s="1"/>
  <c r="B123" i="15"/>
  <c r="Z122" i="15"/>
  <c r="X122" i="15"/>
  <c r="N122" i="15"/>
  <c r="L122" i="15"/>
  <c r="B122" i="15"/>
  <c r="Z121" i="15"/>
  <c r="X121" i="15"/>
  <c r="N121" i="15"/>
  <c r="L121" i="15"/>
  <c r="B121" i="15"/>
  <c r="T120" i="15"/>
  <c r="P120" i="15"/>
  <c r="X120" i="15" s="1"/>
  <c r="N120" i="15"/>
  <c r="H120" i="15"/>
  <c r="D120" i="15"/>
  <c r="L120" i="15" s="1"/>
  <c r="B120" i="15"/>
  <c r="Z119" i="15"/>
  <c r="X119" i="15"/>
  <c r="N119" i="15"/>
  <c r="L119" i="15"/>
  <c r="B119" i="15"/>
  <c r="Z118" i="15"/>
  <c r="X118" i="15"/>
  <c r="N118" i="15"/>
  <c r="L118" i="15"/>
  <c r="B118" i="15"/>
  <c r="Z117" i="15"/>
  <c r="X117" i="15"/>
  <c r="N117" i="15"/>
  <c r="L117" i="15"/>
  <c r="B117" i="15"/>
  <c r="T116" i="15"/>
  <c r="P116" i="15"/>
  <c r="X116" i="15" s="1"/>
  <c r="N116" i="15"/>
  <c r="H116" i="15"/>
  <c r="D116" i="15"/>
  <c r="L116" i="15" s="1"/>
  <c r="B116" i="15"/>
  <c r="X115" i="15"/>
  <c r="Z115" i="15" s="1"/>
  <c r="L115" i="15"/>
  <c r="N115" i="15" s="1"/>
  <c r="B115" i="15"/>
  <c r="Z114" i="15"/>
  <c r="X114" i="15"/>
  <c r="N114" i="15"/>
  <c r="L114" i="15"/>
  <c r="B114" i="15"/>
  <c r="Z113" i="15"/>
  <c r="X113" i="15"/>
  <c r="N113" i="15"/>
  <c r="L113" i="15"/>
  <c r="B113" i="15"/>
  <c r="X112" i="15"/>
  <c r="Z112" i="15" s="1"/>
  <c r="L112" i="15"/>
  <c r="N112" i="15" s="1"/>
  <c r="B112" i="15"/>
  <c r="T111" i="15"/>
  <c r="P111" i="15"/>
  <c r="X111" i="15" s="1"/>
  <c r="H111" i="15"/>
  <c r="D111" i="15"/>
  <c r="B111" i="15"/>
  <c r="Z110" i="15"/>
  <c r="X110" i="15"/>
  <c r="N110" i="15"/>
  <c r="L110" i="15"/>
  <c r="B110" i="15"/>
  <c r="Z109" i="15"/>
  <c r="X109" i="15"/>
  <c r="L109" i="15"/>
  <c r="N109" i="15" s="1"/>
  <c r="B109" i="15"/>
  <c r="Z108" i="15"/>
  <c r="X108" i="15"/>
  <c r="N108" i="15"/>
  <c r="L108" i="15"/>
  <c r="B108" i="15"/>
  <c r="X107" i="15"/>
  <c r="Z107" i="15" s="1"/>
  <c r="L107" i="15"/>
  <c r="N107" i="15" s="1"/>
  <c r="B107" i="15"/>
  <c r="T106" i="15"/>
  <c r="P106" i="15"/>
  <c r="X106" i="15" s="1"/>
  <c r="Z106" i="15" s="1"/>
  <c r="H106" i="15"/>
  <c r="D106" i="15"/>
  <c r="L106" i="15" s="1"/>
  <c r="B106" i="15"/>
  <c r="Z105" i="15"/>
  <c r="X105" i="15"/>
  <c r="N105" i="15"/>
  <c r="L105" i="15"/>
  <c r="B105" i="15"/>
  <c r="T104" i="15"/>
  <c r="Z104" i="15" s="1"/>
  <c r="P104" i="15"/>
  <c r="X104" i="15" s="1"/>
  <c r="N104" i="15"/>
  <c r="L104" i="15"/>
  <c r="H104" i="15"/>
  <c r="D104" i="15"/>
  <c r="B104" i="15"/>
  <c r="X103" i="15"/>
  <c r="Z103" i="15" s="1"/>
  <c r="N103" i="15"/>
  <c r="L103" i="15"/>
  <c r="B103" i="15"/>
  <c r="Z102" i="15"/>
  <c r="X102" i="15"/>
  <c r="T102" i="15"/>
  <c r="P102" i="15"/>
  <c r="L102" i="15"/>
  <c r="H102" i="15"/>
  <c r="N102" i="15" s="1"/>
  <c r="D102" i="15"/>
  <c r="B102" i="15"/>
  <c r="Z101" i="15"/>
  <c r="X101" i="15"/>
  <c r="N101" i="15"/>
  <c r="L101" i="15"/>
  <c r="B101" i="15"/>
  <c r="X100" i="15"/>
  <c r="T100" i="15"/>
  <c r="Z100" i="15" s="1"/>
  <c r="P100" i="15"/>
  <c r="H100" i="15"/>
  <c r="D100" i="15"/>
  <c r="L100" i="15" s="1"/>
  <c r="N100" i="15" s="1"/>
  <c r="B100" i="15"/>
  <c r="X99" i="15"/>
  <c r="Z99" i="15" s="1"/>
  <c r="N99" i="15"/>
  <c r="L99" i="15"/>
  <c r="B99" i="15"/>
  <c r="T98" i="15"/>
  <c r="P98" i="15"/>
  <c r="X98" i="15" s="1"/>
  <c r="Z98" i="15" s="1"/>
  <c r="H98" i="15"/>
  <c r="D98" i="15"/>
  <c r="L98" i="15" s="1"/>
  <c r="B98" i="15"/>
  <c r="Z97" i="15"/>
  <c r="X97" i="15"/>
  <c r="N97" i="15"/>
  <c r="L97" i="15"/>
  <c r="B97" i="15"/>
  <c r="X96" i="15"/>
  <c r="Z96" i="15" s="1"/>
  <c r="N96" i="15"/>
  <c r="L96" i="15"/>
  <c r="B96" i="15"/>
  <c r="T95" i="15"/>
  <c r="P95" i="15"/>
  <c r="X95" i="15" s="1"/>
  <c r="Z95" i="15" s="1"/>
  <c r="H95" i="15"/>
  <c r="D95" i="15"/>
  <c r="B95" i="15"/>
  <c r="Z94" i="15"/>
  <c r="X94" i="15"/>
  <c r="N94" i="15"/>
  <c r="L94" i="15"/>
  <c r="B94" i="15"/>
  <c r="Z93" i="15"/>
  <c r="X93" i="15"/>
  <c r="N93" i="15"/>
  <c r="L93" i="15"/>
  <c r="B93" i="15"/>
  <c r="T92" i="15"/>
  <c r="P92" i="15"/>
  <c r="X92" i="15" s="1"/>
  <c r="Z92" i="15" s="1"/>
  <c r="H92" i="15"/>
  <c r="L92" i="15" s="1"/>
  <c r="N92" i="15" s="1"/>
  <c r="D92" i="15"/>
  <c r="B92" i="15"/>
  <c r="X91" i="15"/>
  <c r="Z91" i="15" s="1"/>
  <c r="L91" i="15"/>
  <c r="N91" i="15" s="1"/>
  <c r="B91" i="15"/>
  <c r="T90" i="15"/>
  <c r="X90" i="15" s="1"/>
  <c r="Z90" i="15" s="1"/>
  <c r="P90" i="15"/>
  <c r="L90" i="15"/>
  <c r="H90" i="15"/>
  <c r="N90" i="15" s="1"/>
  <c r="D90" i="15"/>
  <c r="B90" i="15"/>
  <c r="X89" i="15"/>
  <c r="Z89" i="15" s="1"/>
  <c r="N89" i="15"/>
  <c r="L89" i="15"/>
  <c r="B89" i="15"/>
  <c r="X88" i="15"/>
  <c r="T88" i="15"/>
  <c r="Z88" i="15" s="1"/>
  <c r="P88" i="15"/>
  <c r="H88" i="15"/>
  <c r="N88" i="15" s="1"/>
  <c r="D88" i="15"/>
  <c r="L88" i="15" s="1"/>
  <c r="B88" i="15"/>
  <c r="X87" i="15"/>
  <c r="Z87" i="15" s="1"/>
  <c r="L87" i="15"/>
  <c r="N87" i="15" s="1"/>
  <c r="B87" i="15"/>
  <c r="T86" i="15"/>
  <c r="Z86" i="15" s="1"/>
  <c r="P86" i="15"/>
  <c r="X86" i="15" s="1"/>
  <c r="H86" i="15"/>
  <c r="D86" i="15"/>
  <c r="L86" i="15" s="1"/>
  <c r="N86" i="15" s="1"/>
  <c r="B86" i="15"/>
  <c r="Z85" i="15"/>
  <c r="X85" i="15"/>
  <c r="N85" i="15"/>
  <c r="L85" i="15"/>
  <c r="B85" i="15"/>
  <c r="Z84" i="15"/>
  <c r="X84" i="15"/>
  <c r="N84" i="15"/>
  <c r="L84" i="15"/>
  <c r="B84" i="15"/>
  <c r="Z83" i="15"/>
  <c r="T83" i="15"/>
  <c r="P83" i="15"/>
  <c r="X83" i="15" s="1"/>
  <c r="H83" i="15"/>
  <c r="N83" i="15" s="1"/>
  <c r="D83" i="15"/>
  <c r="B83" i="15"/>
  <c r="Z82" i="15"/>
  <c r="X82" i="15"/>
  <c r="N82" i="15"/>
  <c r="L82" i="15"/>
  <c r="B82" i="15"/>
  <c r="Z81" i="15"/>
  <c r="X81" i="15"/>
  <c r="N81" i="15"/>
  <c r="L81" i="15"/>
  <c r="B81" i="15"/>
  <c r="T80" i="15"/>
  <c r="P80" i="15"/>
  <c r="X80" i="15" s="1"/>
  <c r="Z80" i="15" s="1"/>
  <c r="N80" i="15"/>
  <c r="L80" i="15"/>
  <c r="H80" i="15"/>
  <c r="D80" i="15"/>
  <c r="B80" i="15"/>
  <c r="X79" i="15"/>
  <c r="Z79" i="15" s="1"/>
  <c r="L79" i="15"/>
  <c r="N79" i="15" s="1"/>
  <c r="B79" i="15"/>
  <c r="T78" i="15"/>
  <c r="X78" i="15" s="1"/>
  <c r="Z78" i="15" s="1"/>
  <c r="P78" i="15"/>
  <c r="L78" i="15"/>
  <c r="H78" i="15"/>
  <c r="N78" i="15" s="1"/>
  <c r="D78" i="15"/>
  <c r="B78" i="15"/>
  <c r="Z77" i="15"/>
  <c r="X77" i="15"/>
  <c r="N77" i="15"/>
  <c r="L77" i="15"/>
  <c r="B77" i="15"/>
  <c r="X76" i="15"/>
  <c r="T76" i="15"/>
  <c r="Z76" i="15" s="1"/>
  <c r="P76" i="15"/>
  <c r="H76" i="15"/>
  <c r="N76" i="15" s="1"/>
  <c r="D76" i="15"/>
  <c r="L76" i="15" s="1"/>
  <c r="B76" i="15"/>
  <c r="X75" i="15"/>
  <c r="Z75" i="15" s="1"/>
  <c r="N75" i="15"/>
  <c r="L75" i="15"/>
  <c r="B75" i="15"/>
  <c r="T74" i="15"/>
  <c r="P74" i="15"/>
  <c r="X74" i="15" s="1"/>
  <c r="H74" i="15"/>
  <c r="D74" i="15"/>
  <c r="L74" i="15" s="1"/>
  <c r="N74" i="15" s="1"/>
  <c r="B74" i="15"/>
  <c r="Z73" i="15"/>
  <c r="X73" i="15"/>
  <c r="N73" i="15"/>
  <c r="L73" i="15"/>
  <c r="B73" i="15"/>
  <c r="Z72" i="15"/>
  <c r="X72" i="15"/>
  <c r="N72" i="15"/>
  <c r="L72" i="15"/>
  <c r="B72" i="15"/>
  <c r="Z71" i="15"/>
  <c r="X71" i="15"/>
  <c r="N71" i="15"/>
  <c r="L71" i="15"/>
  <c r="B71" i="15"/>
  <c r="Z70" i="15"/>
  <c r="X70" i="15"/>
  <c r="N70" i="15"/>
  <c r="L70" i="15"/>
  <c r="B70" i="15"/>
  <c r="Z69" i="15"/>
  <c r="X69" i="15"/>
  <c r="N69" i="15"/>
  <c r="L69" i="15"/>
  <c r="B69" i="15"/>
  <c r="X68" i="15"/>
  <c r="Z68" i="15" s="1"/>
  <c r="L68" i="15"/>
  <c r="N68" i="15" s="1"/>
  <c r="B68" i="15"/>
  <c r="Z67" i="15"/>
  <c r="X67" i="15"/>
  <c r="N67" i="15"/>
  <c r="L67" i="15"/>
  <c r="B67" i="15"/>
  <c r="Z66" i="15"/>
  <c r="X66" i="15"/>
  <c r="N66" i="15"/>
  <c r="L66" i="15"/>
  <c r="B66" i="15"/>
  <c r="Z65" i="15"/>
  <c r="X65" i="15"/>
  <c r="N65" i="15"/>
  <c r="L65" i="15"/>
  <c r="B65" i="15"/>
  <c r="X64" i="15"/>
  <c r="Z64" i="15" s="1"/>
  <c r="L64" i="15"/>
  <c r="N64" i="15" s="1"/>
  <c r="B64" i="15"/>
  <c r="T63" i="15"/>
  <c r="P63" i="15"/>
  <c r="X63" i="15" s="1"/>
  <c r="Z63" i="15" s="1"/>
  <c r="H63" i="15"/>
  <c r="L63" i="15" s="1"/>
  <c r="N63" i="15" s="1"/>
  <c r="D63" i="15"/>
  <c r="B63" i="15"/>
  <c r="Z62" i="15"/>
  <c r="X62" i="15"/>
  <c r="N62" i="15"/>
  <c r="L62" i="15"/>
  <c r="B62" i="15"/>
  <c r="Z61" i="15"/>
  <c r="X61" i="15"/>
  <c r="L61" i="15"/>
  <c r="N61" i="15" s="1"/>
  <c r="B61" i="15"/>
  <c r="X60" i="15"/>
  <c r="Z60" i="15" s="1"/>
  <c r="L60" i="15"/>
  <c r="N60" i="15" s="1"/>
  <c r="B60" i="15"/>
  <c r="Z59" i="15"/>
  <c r="X59" i="15"/>
  <c r="N59" i="15"/>
  <c r="L59" i="15"/>
  <c r="B59" i="15"/>
  <c r="Z58" i="15"/>
  <c r="X58" i="15"/>
  <c r="N58" i="15"/>
  <c r="L58" i="15"/>
  <c r="B58" i="15"/>
  <c r="X57" i="15"/>
  <c r="Z57" i="15" s="1"/>
  <c r="N57" i="15"/>
  <c r="L57" i="15"/>
  <c r="B57" i="15"/>
  <c r="X56" i="15"/>
  <c r="Z56" i="15" s="1"/>
  <c r="L56" i="15"/>
  <c r="N56" i="15" s="1"/>
  <c r="B56" i="15"/>
  <c r="X55" i="15"/>
  <c r="Z55" i="15" s="1"/>
  <c r="N55" i="15"/>
  <c r="L55" i="15"/>
  <c r="B55" i="15"/>
  <c r="Z54" i="15"/>
  <c r="X54" i="15"/>
  <c r="N54" i="15"/>
  <c r="L54" i="15"/>
  <c r="B54" i="15"/>
  <c r="Z53" i="15"/>
  <c r="X53" i="15"/>
  <c r="L53" i="15"/>
  <c r="N53" i="15" s="1"/>
  <c r="B53" i="15"/>
  <c r="T52" i="15"/>
  <c r="Z52" i="15" s="1"/>
  <c r="P52" i="15"/>
  <c r="X52" i="15" s="1"/>
  <c r="N52" i="15"/>
  <c r="L52" i="15"/>
  <c r="H52" i="15"/>
  <c r="D52" i="15"/>
  <c r="B52" i="15"/>
  <c r="T51" i="15"/>
  <c r="P51" i="15"/>
  <c r="X51" i="15" s="1"/>
  <c r="Z51" i="15" s="1"/>
  <c r="H51" i="15"/>
  <c r="N51" i="15" s="1"/>
  <c r="D51" i="15"/>
  <c r="L51" i="15" s="1"/>
  <c r="Z47" i="15"/>
  <c r="X47" i="15"/>
  <c r="N47" i="15"/>
  <c r="L47" i="15"/>
  <c r="B47" i="15"/>
  <c r="Z46" i="15"/>
  <c r="X46" i="15"/>
  <c r="N46" i="15"/>
  <c r="L46" i="15"/>
  <c r="B46" i="15"/>
  <c r="Z45" i="15"/>
  <c r="X45" i="15"/>
  <c r="N45" i="15"/>
  <c r="L45" i="15"/>
  <c r="B45" i="15"/>
  <c r="Z44" i="15"/>
  <c r="X44" i="15"/>
  <c r="N44" i="15"/>
  <c r="L44" i="15"/>
  <c r="J44" i="15"/>
  <c r="B44" i="15"/>
  <c r="Z43" i="15"/>
  <c r="X43" i="15"/>
  <c r="N43" i="15"/>
  <c r="L43" i="15"/>
  <c r="B43" i="15"/>
  <c r="Z42" i="15"/>
  <c r="X42" i="15"/>
  <c r="N42" i="15"/>
  <c r="L42" i="15"/>
  <c r="B42" i="15"/>
  <c r="Z41" i="15"/>
  <c r="X41" i="15"/>
  <c r="N41" i="15"/>
  <c r="L41" i="15"/>
  <c r="B41" i="15"/>
  <c r="Z40" i="15"/>
  <c r="X40" i="15"/>
  <c r="N40" i="15"/>
  <c r="L40" i="15"/>
  <c r="B40" i="15"/>
  <c r="Z39" i="15"/>
  <c r="X39" i="15"/>
  <c r="N39" i="15"/>
  <c r="L39" i="15"/>
  <c r="B39" i="15"/>
  <c r="Z38" i="15"/>
  <c r="X38" i="15"/>
  <c r="N38" i="15"/>
  <c r="L38" i="15"/>
  <c r="B38" i="15"/>
  <c r="Z37" i="15"/>
  <c r="X37" i="15"/>
  <c r="N37" i="15"/>
  <c r="L37" i="15"/>
  <c r="B37" i="15"/>
  <c r="Z36" i="15"/>
  <c r="X36" i="15"/>
  <c r="N36" i="15"/>
  <c r="L36" i="15"/>
  <c r="J36" i="15"/>
  <c r="B36" i="15"/>
  <c r="Z35" i="15"/>
  <c r="X35" i="15"/>
  <c r="N35" i="15"/>
  <c r="L35" i="15"/>
  <c r="B35" i="15"/>
  <c r="Z34" i="15"/>
  <c r="X34" i="15"/>
  <c r="N34" i="15"/>
  <c r="L34" i="15"/>
  <c r="B34" i="15"/>
  <c r="Z33" i="15"/>
  <c r="X33" i="15"/>
  <c r="N33" i="15"/>
  <c r="L33" i="15"/>
  <c r="B33" i="15"/>
  <c r="Z32" i="15"/>
  <c r="X32" i="15"/>
  <c r="N32" i="15"/>
  <c r="L32" i="15"/>
  <c r="B32" i="15"/>
  <c r="Z31" i="15"/>
  <c r="X31" i="15"/>
  <c r="N31" i="15"/>
  <c r="L31" i="15"/>
  <c r="B31" i="15"/>
  <c r="Z30" i="15"/>
  <c r="X30" i="15"/>
  <c r="N30" i="15"/>
  <c r="L30" i="15"/>
  <c r="B30" i="15"/>
  <c r="Z29" i="15"/>
  <c r="X29" i="15"/>
  <c r="N29" i="15"/>
  <c r="L29" i="15"/>
  <c r="B29" i="15"/>
  <c r="Z28" i="15"/>
  <c r="X28" i="15"/>
  <c r="N28" i="15"/>
  <c r="L28" i="15"/>
  <c r="J28" i="15"/>
  <c r="B28" i="15"/>
  <c r="Z27" i="15"/>
  <c r="X27" i="15"/>
  <c r="N27" i="15"/>
  <c r="L27" i="15"/>
  <c r="B27" i="15"/>
  <c r="Z26" i="15"/>
  <c r="X26" i="15"/>
  <c r="N26" i="15"/>
  <c r="L26" i="15"/>
  <c r="J26" i="15"/>
  <c r="B26" i="15"/>
  <c r="Z25" i="15"/>
  <c r="X25" i="15"/>
  <c r="N25" i="15"/>
  <c r="L25" i="15"/>
  <c r="B25" i="15"/>
  <c r="Z24" i="15"/>
  <c r="X24" i="15"/>
  <c r="N24" i="15"/>
  <c r="L24" i="15"/>
  <c r="J24" i="15"/>
  <c r="B24" i="15"/>
  <c r="Z23" i="15"/>
  <c r="X23" i="15"/>
  <c r="N23" i="15"/>
  <c r="L23" i="15"/>
  <c r="B23" i="15"/>
  <c r="Z22" i="15"/>
  <c r="X22" i="15"/>
  <c r="N22" i="15"/>
  <c r="L22" i="15"/>
  <c r="B22" i="15"/>
  <c r="X21" i="15"/>
  <c r="Z21" i="15" s="1"/>
  <c r="L21" i="15"/>
  <c r="N21" i="15" s="1"/>
  <c r="J21" i="15"/>
  <c r="B21" i="15"/>
  <c r="T20" i="15"/>
  <c r="P20" i="15"/>
  <c r="X20" i="15" s="1"/>
  <c r="Z20" i="15" s="1"/>
  <c r="N20" i="15"/>
  <c r="J20" i="15"/>
  <c r="H20" i="15"/>
  <c r="D20" i="15"/>
  <c r="L20" i="15" s="1"/>
  <c r="Z18" i="15"/>
  <c r="X18" i="15"/>
  <c r="P18" i="15"/>
  <c r="N18" i="15"/>
  <c r="L18" i="15"/>
  <c r="D18" i="15"/>
  <c r="B18" i="15"/>
  <c r="Z17" i="15"/>
  <c r="P17" i="15"/>
  <c r="X17" i="15" s="1"/>
  <c r="N17" i="15"/>
  <c r="D17" i="15"/>
  <c r="L17" i="15" s="1"/>
  <c r="B17" i="15"/>
  <c r="Z16" i="15"/>
  <c r="X16" i="15"/>
  <c r="P16" i="15"/>
  <c r="N16" i="15"/>
  <c r="L16" i="15"/>
  <c r="D16" i="15"/>
  <c r="B16" i="15"/>
  <c r="Z15" i="15"/>
  <c r="X15" i="15"/>
  <c r="P15" i="15"/>
  <c r="N15" i="15"/>
  <c r="L15" i="15"/>
  <c r="D15" i="15"/>
  <c r="B15" i="15"/>
  <c r="P14" i="15"/>
  <c r="D14" i="15"/>
  <c r="L14" i="15" s="1"/>
  <c r="N14" i="15" s="1"/>
  <c r="B14" i="15"/>
  <c r="X13" i="15"/>
  <c r="Z13" i="15" s="1"/>
  <c r="P13" i="15"/>
  <c r="N13" i="15"/>
  <c r="L13" i="15"/>
  <c r="D13" i="15"/>
  <c r="B13" i="15"/>
  <c r="T12" i="15"/>
  <c r="V40" i="15" s="1"/>
  <c r="H12" i="15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D15" i="14"/>
  <c r="T13" i="14"/>
  <c r="Z13" i="14" s="1"/>
  <c r="P13" i="14"/>
  <c r="H13" i="14"/>
  <c r="N13" i="14" s="1"/>
  <c r="D13" i="14"/>
  <c r="B13" i="14"/>
  <c r="T12" i="14"/>
  <c r="V36" i="14" s="1"/>
  <c r="P12" i="14"/>
  <c r="R34" i="14" s="1"/>
  <c r="H12" i="14"/>
  <c r="J36" i="14" s="1"/>
  <c r="D12" i="14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P20" i="13"/>
  <c r="H20" i="13"/>
  <c r="N20" i="13" s="1"/>
  <c r="D20" i="13"/>
  <c r="T16" i="13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34" i="13" s="1"/>
  <c r="P12" i="13"/>
  <c r="R36" i="13" s="1"/>
  <c r="H12" i="13"/>
  <c r="J20" i="13" s="1"/>
  <c r="D12" i="13"/>
  <c r="F34" i="13" s="1"/>
  <c r="D5" i="13"/>
  <c r="D4" i="13"/>
  <c r="X158" i="12"/>
  <c r="Z158" i="12" s="1"/>
  <c r="N158" i="12"/>
  <c r="L158" i="12"/>
  <c r="Z154" i="12"/>
  <c r="X154" i="12"/>
  <c r="P154" i="12"/>
  <c r="N154" i="12"/>
  <c r="D154" i="12"/>
  <c r="L154" i="12" s="1"/>
  <c r="B154" i="12"/>
  <c r="Z153" i="12"/>
  <c r="X153" i="12"/>
  <c r="P153" i="12"/>
  <c r="N153" i="12"/>
  <c r="L153" i="12"/>
  <c r="D153" i="12"/>
  <c r="B153" i="12"/>
  <c r="Z152" i="12"/>
  <c r="V152" i="12"/>
  <c r="P152" i="12"/>
  <c r="X152" i="12" s="1"/>
  <c r="N152" i="12"/>
  <c r="L152" i="12"/>
  <c r="D152" i="12"/>
  <c r="B152" i="12"/>
  <c r="X151" i="12"/>
  <c r="Z151" i="12" s="1"/>
  <c r="P151" i="12"/>
  <c r="D151" i="12"/>
  <c r="L151" i="12" s="1"/>
  <c r="N151" i="12" s="1"/>
  <c r="B151" i="12"/>
  <c r="P150" i="12"/>
  <c r="L150" i="12"/>
  <c r="N150" i="12" s="1"/>
  <c r="D150" i="12"/>
  <c r="B150" i="12"/>
  <c r="T149" i="12"/>
  <c r="H149" i="12"/>
  <c r="D149" i="12"/>
  <c r="Z147" i="12"/>
  <c r="X147" i="12"/>
  <c r="L147" i="12"/>
  <c r="N147" i="12" s="1"/>
  <c r="B147" i="12"/>
  <c r="T146" i="12"/>
  <c r="P146" i="12"/>
  <c r="X146" i="12" s="1"/>
  <c r="Z146" i="12" s="1"/>
  <c r="N146" i="12"/>
  <c r="L146" i="12"/>
  <c r="H146" i="12"/>
  <c r="D146" i="12"/>
  <c r="B146" i="12"/>
  <c r="X145" i="12"/>
  <c r="Z145" i="12" s="1"/>
  <c r="N145" i="12"/>
  <c r="L145" i="12"/>
  <c r="B145" i="12"/>
  <c r="Z144" i="12"/>
  <c r="X144" i="12"/>
  <c r="N144" i="12"/>
  <c r="L144" i="12"/>
  <c r="B144" i="12"/>
  <c r="Z143" i="12"/>
  <c r="X143" i="12"/>
  <c r="L143" i="12"/>
  <c r="N143" i="12" s="1"/>
  <c r="B143" i="12"/>
  <c r="T142" i="12"/>
  <c r="P142" i="12"/>
  <c r="X142" i="12" s="1"/>
  <c r="Z142" i="12" s="1"/>
  <c r="N142" i="12"/>
  <c r="L142" i="12"/>
  <c r="H142" i="12"/>
  <c r="D142" i="12"/>
  <c r="B142" i="12"/>
  <c r="X141" i="12"/>
  <c r="Z141" i="12" s="1"/>
  <c r="N141" i="12"/>
  <c r="L141" i="12"/>
  <c r="B141" i="12"/>
  <c r="Z140" i="12"/>
  <c r="X140" i="12"/>
  <c r="T140" i="12"/>
  <c r="P140" i="12"/>
  <c r="H140" i="12"/>
  <c r="L140" i="12" s="1"/>
  <c r="N140" i="12" s="1"/>
  <c r="D140" i="12"/>
  <c r="B140" i="12"/>
  <c r="X139" i="12"/>
  <c r="Z139" i="12" s="1"/>
  <c r="N139" i="12"/>
  <c r="L139" i="12"/>
  <c r="B139" i="12"/>
  <c r="Z138" i="12"/>
  <c r="X138" i="12"/>
  <c r="L138" i="12"/>
  <c r="N138" i="12" s="1"/>
  <c r="B138" i="12"/>
  <c r="X137" i="12"/>
  <c r="Z137" i="12" s="1"/>
  <c r="T137" i="12"/>
  <c r="P137" i="12"/>
  <c r="L137" i="12"/>
  <c r="H137" i="12"/>
  <c r="D137" i="12"/>
  <c r="B137" i="12"/>
  <c r="X136" i="12"/>
  <c r="Z136" i="12" s="1"/>
  <c r="V136" i="12"/>
  <c r="N136" i="12"/>
  <c r="L136" i="12"/>
  <c r="B136" i="12"/>
  <c r="X135" i="12"/>
  <c r="Z135" i="12" s="1"/>
  <c r="N135" i="12"/>
  <c r="L135" i="12"/>
  <c r="B135" i="12"/>
  <c r="Z134" i="12"/>
  <c r="X134" i="12"/>
  <c r="L134" i="12"/>
  <c r="N134" i="12" s="1"/>
  <c r="B134" i="12"/>
  <c r="X133" i="12"/>
  <c r="Z133" i="12" s="1"/>
  <c r="N133" i="12"/>
  <c r="L133" i="12"/>
  <c r="B133" i="12"/>
  <c r="Z132" i="12"/>
  <c r="X132" i="12"/>
  <c r="L132" i="12"/>
  <c r="N132" i="12" s="1"/>
  <c r="B132" i="12"/>
  <c r="Z131" i="12"/>
  <c r="X131" i="12"/>
  <c r="L131" i="12"/>
  <c r="N131" i="12" s="1"/>
  <c r="B131" i="12"/>
  <c r="X130" i="12"/>
  <c r="Z130" i="12" s="1"/>
  <c r="N130" i="12"/>
  <c r="L130" i="12"/>
  <c r="B130" i="12"/>
  <c r="T129" i="12"/>
  <c r="P129" i="12"/>
  <c r="H129" i="12"/>
  <c r="D129" i="12"/>
  <c r="L129" i="12" s="1"/>
  <c r="N129" i="12" s="1"/>
  <c r="B129" i="12"/>
  <c r="Z128" i="12"/>
  <c r="X128" i="12"/>
  <c r="N128" i="12"/>
  <c r="L128" i="12"/>
  <c r="B128" i="12"/>
  <c r="Z127" i="12"/>
  <c r="X127" i="12"/>
  <c r="L127" i="12"/>
  <c r="N127" i="12" s="1"/>
  <c r="B127" i="12"/>
  <c r="T126" i="12"/>
  <c r="P126" i="12"/>
  <c r="X126" i="12" s="1"/>
  <c r="Z126" i="12" s="1"/>
  <c r="N126" i="12"/>
  <c r="L126" i="12"/>
  <c r="H126" i="12"/>
  <c r="D126" i="12"/>
  <c r="B126" i="12"/>
  <c r="X125" i="12"/>
  <c r="Z125" i="12" s="1"/>
  <c r="N125" i="12"/>
  <c r="L125" i="12"/>
  <c r="B125" i="12"/>
  <c r="Z124" i="12"/>
  <c r="X124" i="12"/>
  <c r="N124" i="12"/>
  <c r="L124" i="12"/>
  <c r="B124" i="12"/>
  <c r="Z123" i="12"/>
  <c r="X123" i="12"/>
  <c r="L123" i="12"/>
  <c r="N123" i="12" s="1"/>
  <c r="B123" i="12"/>
  <c r="Z122" i="12"/>
  <c r="X122" i="12"/>
  <c r="N122" i="12"/>
  <c r="L122" i="12"/>
  <c r="B122" i="12"/>
  <c r="T121" i="12"/>
  <c r="P121" i="12"/>
  <c r="X121" i="12" s="1"/>
  <c r="H121" i="12"/>
  <c r="D121" i="12"/>
  <c r="L121" i="12" s="1"/>
  <c r="N121" i="12" s="1"/>
  <c r="B121" i="12"/>
  <c r="Z120" i="12"/>
  <c r="X120" i="12"/>
  <c r="L120" i="12"/>
  <c r="N120" i="12" s="1"/>
  <c r="B120" i="12"/>
  <c r="Z119" i="12"/>
  <c r="X119" i="12"/>
  <c r="N119" i="12"/>
  <c r="L119" i="12"/>
  <c r="B119" i="12"/>
  <c r="Z118" i="12"/>
  <c r="X118" i="12"/>
  <c r="N118" i="12"/>
  <c r="L118" i="12"/>
  <c r="B118" i="12"/>
  <c r="Z117" i="12"/>
  <c r="X117" i="12"/>
  <c r="L117" i="12"/>
  <c r="N117" i="12" s="1"/>
  <c r="B117" i="12"/>
  <c r="V116" i="12"/>
  <c r="T116" i="12"/>
  <c r="Z116" i="12" s="1"/>
  <c r="P116" i="12"/>
  <c r="X116" i="12" s="1"/>
  <c r="H116" i="12"/>
  <c r="D116" i="12"/>
  <c r="L116" i="12" s="1"/>
  <c r="N116" i="12" s="1"/>
  <c r="B116" i="12"/>
  <c r="Z115" i="12"/>
  <c r="X115" i="12"/>
  <c r="L115" i="12"/>
  <c r="N115" i="12" s="1"/>
  <c r="B115" i="12"/>
  <c r="Z114" i="12"/>
  <c r="X114" i="12"/>
  <c r="N114" i="12"/>
  <c r="L114" i="12"/>
  <c r="B114" i="12"/>
  <c r="Z113" i="12"/>
  <c r="X113" i="12"/>
  <c r="L113" i="12"/>
  <c r="N113" i="12" s="1"/>
  <c r="B113" i="12"/>
  <c r="X112" i="12"/>
  <c r="Z112" i="12" s="1"/>
  <c r="V112" i="12"/>
  <c r="N112" i="12"/>
  <c r="L112" i="12"/>
  <c r="B112" i="12"/>
  <c r="X111" i="12"/>
  <c r="T111" i="12"/>
  <c r="Z111" i="12" s="1"/>
  <c r="P111" i="12"/>
  <c r="H111" i="12"/>
  <c r="D111" i="12"/>
  <c r="B111" i="12"/>
  <c r="Z110" i="12"/>
  <c r="X110" i="12"/>
  <c r="N110" i="12"/>
  <c r="L110" i="12"/>
  <c r="B110" i="12"/>
  <c r="T109" i="12"/>
  <c r="P109" i="12"/>
  <c r="H109" i="12"/>
  <c r="D109" i="12"/>
  <c r="L109" i="12" s="1"/>
  <c r="N109" i="12" s="1"/>
  <c r="B109" i="12"/>
  <c r="Z108" i="12"/>
  <c r="X108" i="12"/>
  <c r="N108" i="12"/>
  <c r="L108" i="12"/>
  <c r="B108" i="12"/>
  <c r="T107" i="12"/>
  <c r="P107" i="12"/>
  <c r="X107" i="12" s="1"/>
  <c r="Z107" i="12" s="1"/>
  <c r="N107" i="12"/>
  <c r="L107" i="12"/>
  <c r="H107" i="12"/>
  <c r="D107" i="12"/>
  <c r="B107" i="12"/>
  <c r="Z106" i="12"/>
  <c r="X106" i="12"/>
  <c r="N106" i="12"/>
  <c r="L106" i="12"/>
  <c r="B106" i="12"/>
  <c r="X105" i="12"/>
  <c r="Z105" i="12" s="1"/>
  <c r="T105" i="12"/>
  <c r="P105" i="12"/>
  <c r="L105" i="12"/>
  <c r="H105" i="12"/>
  <c r="N105" i="12" s="1"/>
  <c r="D105" i="12"/>
  <c r="B105" i="12"/>
  <c r="Z104" i="12"/>
  <c r="X104" i="12"/>
  <c r="V104" i="12"/>
  <c r="N104" i="12"/>
  <c r="L104" i="12"/>
  <c r="B104" i="12"/>
  <c r="X103" i="12"/>
  <c r="T103" i="12"/>
  <c r="P103" i="12"/>
  <c r="H103" i="12"/>
  <c r="D103" i="12"/>
  <c r="L103" i="12" s="1"/>
  <c r="B103" i="12"/>
  <c r="Z102" i="12"/>
  <c r="X102" i="12"/>
  <c r="N102" i="12"/>
  <c r="L102" i="12"/>
  <c r="B102" i="12"/>
  <c r="T101" i="12"/>
  <c r="P101" i="12"/>
  <c r="X101" i="12" s="1"/>
  <c r="H101" i="12"/>
  <c r="D101" i="12"/>
  <c r="L101" i="12" s="1"/>
  <c r="N101" i="12" s="1"/>
  <c r="B101" i="12"/>
  <c r="Z100" i="12"/>
  <c r="X100" i="12"/>
  <c r="N100" i="12"/>
  <c r="L100" i="12"/>
  <c r="B100" i="12"/>
  <c r="Z99" i="12"/>
  <c r="X99" i="12"/>
  <c r="N99" i="12"/>
  <c r="L99" i="12"/>
  <c r="B99" i="12"/>
  <c r="T98" i="12"/>
  <c r="P98" i="12"/>
  <c r="X98" i="12" s="1"/>
  <c r="Z98" i="12" s="1"/>
  <c r="N98" i="12"/>
  <c r="L98" i="12"/>
  <c r="H98" i="12"/>
  <c r="D98" i="12"/>
  <c r="B98" i="12"/>
  <c r="X97" i="12"/>
  <c r="Z97" i="12" s="1"/>
  <c r="N97" i="12"/>
  <c r="L97" i="12"/>
  <c r="B97" i="12"/>
  <c r="Z96" i="12"/>
  <c r="X96" i="12"/>
  <c r="L96" i="12"/>
  <c r="N96" i="12" s="1"/>
  <c r="B96" i="12"/>
  <c r="T95" i="12"/>
  <c r="P95" i="12"/>
  <c r="X95" i="12" s="1"/>
  <c r="Z95" i="12" s="1"/>
  <c r="L95" i="12"/>
  <c r="N95" i="12" s="1"/>
  <c r="H95" i="12"/>
  <c r="D95" i="12"/>
  <c r="B95" i="12"/>
  <c r="Z94" i="12"/>
  <c r="X94" i="12"/>
  <c r="N94" i="12"/>
  <c r="L94" i="12"/>
  <c r="B94" i="12"/>
  <c r="X93" i="12"/>
  <c r="Z93" i="12" s="1"/>
  <c r="T93" i="12"/>
  <c r="P93" i="12"/>
  <c r="L93" i="12"/>
  <c r="H93" i="12"/>
  <c r="D93" i="12"/>
  <c r="B93" i="12"/>
  <c r="Z92" i="12"/>
  <c r="X92" i="12"/>
  <c r="V92" i="12"/>
  <c r="N92" i="12"/>
  <c r="L92" i="12"/>
  <c r="B92" i="12"/>
  <c r="X91" i="12"/>
  <c r="T91" i="12"/>
  <c r="Z91" i="12" s="1"/>
  <c r="P91" i="12"/>
  <c r="H91" i="12"/>
  <c r="D91" i="12"/>
  <c r="B91" i="12"/>
  <c r="Z90" i="12"/>
  <c r="X90" i="12"/>
  <c r="N90" i="12"/>
  <c r="L90" i="12"/>
  <c r="B90" i="12"/>
  <c r="T89" i="12"/>
  <c r="P89" i="12"/>
  <c r="H89" i="12"/>
  <c r="D89" i="12"/>
  <c r="L89" i="12" s="1"/>
  <c r="N89" i="12" s="1"/>
  <c r="B89" i="12"/>
  <c r="Z88" i="12"/>
  <c r="X88" i="12"/>
  <c r="N88" i="12"/>
  <c r="L88" i="12"/>
  <c r="B88" i="12"/>
  <c r="Z87" i="12"/>
  <c r="X87" i="12"/>
  <c r="N87" i="12"/>
  <c r="L87" i="12"/>
  <c r="B87" i="12"/>
  <c r="Z86" i="12"/>
  <c r="T86" i="12"/>
  <c r="P86" i="12"/>
  <c r="X86" i="12" s="1"/>
  <c r="N86" i="12"/>
  <c r="L86" i="12"/>
  <c r="H86" i="12"/>
  <c r="D86" i="12"/>
  <c r="B86" i="12"/>
  <c r="X85" i="12"/>
  <c r="Z85" i="12" s="1"/>
  <c r="N85" i="12"/>
  <c r="L85" i="12"/>
  <c r="B85" i="12"/>
  <c r="Z84" i="12"/>
  <c r="X84" i="12"/>
  <c r="N84" i="12"/>
  <c r="L84" i="12"/>
  <c r="B84" i="12"/>
  <c r="T83" i="12"/>
  <c r="P83" i="12"/>
  <c r="X83" i="12" s="1"/>
  <c r="Z83" i="12" s="1"/>
  <c r="L83" i="12"/>
  <c r="N83" i="12" s="1"/>
  <c r="H83" i="12"/>
  <c r="D83" i="12"/>
  <c r="B83" i="12"/>
  <c r="Z82" i="12"/>
  <c r="X82" i="12"/>
  <c r="N82" i="12"/>
  <c r="L82" i="12"/>
  <c r="B82" i="12"/>
  <c r="X81" i="12"/>
  <c r="Z81" i="12" s="1"/>
  <c r="T81" i="12"/>
  <c r="P81" i="12"/>
  <c r="L81" i="12"/>
  <c r="H81" i="12"/>
  <c r="N81" i="12" s="1"/>
  <c r="D81" i="12"/>
  <c r="B81" i="12"/>
  <c r="Z80" i="12"/>
  <c r="X80" i="12"/>
  <c r="V80" i="12"/>
  <c r="N80" i="12"/>
  <c r="L80" i="12"/>
  <c r="B80" i="12"/>
  <c r="X79" i="12"/>
  <c r="T79" i="12"/>
  <c r="P79" i="12"/>
  <c r="H79" i="12"/>
  <c r="D79" i="12"/>
  <c r="B79" i="12"/>
  <c r="Z78" i="12"/>
  <c r="X78" i="12"/>
  <c r="N78" i="12"/>
  <c r="L78" i="12"/>
  <c r="B78" i="12"/>
  <c r="T77" i="12"/>
  <c r="P77" i="12"/>
  <c r="H77" i="12"/>
  <c r="D77" i="12"/>
  <c r="L77" i="12" s="1"/>
  <c r="N77" i="12" s="1"/>
  <c r="B77" i="12"/>
  <c r="Z76" i="12"/>
  <c r="X76" i="12"/>
  <c r="N76" i="12"/>
  <c r="L76" i="12"/>
  <c r="B76" i="12"/>
  <c r="Z75" i="12"/>
  <c r="X75" i="12"/>
  <c r="N75" i="12"/>
  <c r="L75" i="12"/>
  <c r="B75" i="12"/>
  <c r="Z74" i="12"/>
  <c r="X74" i="12"/>
  <c r="N74" i="12"/>
  <c r="L74" i="12"/>
  <c r="B74" i="12"/>
  <c r="X73" i="12"/>
  <c r="Z73" i="12" s="1"/>
  <c r="L73" i="12"/>
  <c r="N73" i="12" s="1"/>
  <c r="B73" i="12"/>
  <c r="Z72" i="12"/>
  <c r="X72" i="12"/>
  <c r="V72" i="12"/>
  <c r="N72" i="12"/>
  <c r="L72" i="12"/>
  <c r="B72" i="12"/>
  <c r="X71" i="12"/>
  <c r="Z71" i="12" s="1"/>
  <c r="N71" i="12"/>
  <c r="L71" i="12"/>
  <c r="B71" i="12"/>
  <c r="Z70" i="12"/>
  <c r="X70" i="12"/>
  <c r="N70" i="12"/>
  <c r="L70" i="12"/>
  <c r="B70" i="12"/>
  <c r="Z69" i="12"/>
  <c r="X69" i="12"/>
  <c r="N69" i="12"/>
  <c r="L69" i="12"/>
  <c r="B69" i="12"/>
  <c r="Z68" i="12"/>
  <c r="X68" i="12"/>
  <c r="N68" i="12"/>
  <c r="L68" i="12"/>
  <c r="B68" i="12"/>
  <c r="Z67" i="12"/>
  <c r="X67" i="12"/>
  <c r="L67" i="12"/>
  <c r="N67" i="12" s="1"/>
  <c r="B67" i="12"/>
  <c r="T66" i="12"/>
  <c r="P66" i="12"/>
  <c r="X66" i="12" s="1"/>
  <c r="Z66" i="12" s="1"/>
  <c r="N66" i="12"/>
  <c r="L66" i="12"/>
  <c r="H66" i="12"/>
  <c r="D66" i="12"/>
  <c r="B66" i="12"/>
  <c r="X65" i="12"/>
  <c r="Z65" i="12" s="1"/>
  <c r="L65" i="12"/>
  <c r="N65" i="12" s="1"/>
  <c r="B65" i="12"/>
  <c r="Z64" i="12"/>
  <c r="X64" i="12"/>
  <c r="N64" i="12"/>
  <c r="L64" i="12"/>
  <c r="B64" i="12"/>
  <c r="Z63" i="12"/>
  <c r="X63" i="12"/>
  <c r="L63" i="12"/>
  <c r="N63" i="12" s="1"/>
  <c r="B63" i="12"/>
  <c r="Z62" i="12"/>
  <c r="X62" i="12"/>
  <c r="N62" i="12"/>
  <c r="L62" i="12"/>
  <c r="B62" i="12"/>
  <c r="Z61" i="12"/>
  <c r="X61" i="12"/>
  <c r="N61" i="12"/>
  <c r="L61" i="12"/>
  <c r="B61" i="12"/>
  <c r="Z60" i="12"/>
  <c r="X60" i="12"/>
  <c r="V60" i="12"/>
  <c r="N60" i="12"/>
  <c r="L60" i="12"/>
  <c r="B60" i="12"/>
  <c r="X59" i="12"/>
  <c r="Z59" i="12" s="1"/>
  <c r="N59" i="12"/>
  <c r="L59" i="12"/>
  <c r="B59" i="12"/>
  <c r="Z58" i="12"/>
  <c r="X58" i="12"/>
  <c r="N58" i="12"/>
  <c r="L58" i="12"/>
  <c r="B58" i="12"/>
  <c r="X57" i="12"/>
  <c r="Z57" i="12" s="1"/>
  <c r="L57" i="12"/>
  <c r="N57" i="12" s="1"/>
  <c r="B57" i="12"/>
  <c r="Z56" i="12"/>
  <c r="X56" i="12"/>
  <c r="N56" i="12"/>
  <c r="L56" i="12"/>
  <c r="B56" i="12"/>
  <c r="T55" i="12"/>
  <c r="P55" i="12"/>
  <c r="X55" i="12" s="1"/>
  <c r="Z55" i="12" s="1"/>
  <c r="L55" i="12"/>
  <c r="N55" i="12" s="1"/>
  <c r="H55" i="12"/>
  <c r="D55" i="12"/>
  <c r="B55" i="12"/>
  <c r="Z54" i="12"/>
  <c r="T54" i="12"/>
  <c r="P54" i="12"/>
  <c r="X54" i="12" s="1"/>
  <c r="H54" i="12"/>
  <c r="N54" i="12" s="1"/>
  <c r="D54" i="12"/>
  <c r="L54" i="12" s="1"/>
  <c r="Z50" i="12"/>
  <c r="X50" i="12"/>
  <c r="N50" i="12"/>
  <c r="L50" i="12"/>
  <c r="B50" i="12"/>
  <c r="Z49" i="12"/>
  <c r="X49" i="12"/>
  <c r="N49" i="12"/>
  <c r="L49" i="12"/>
  <c r="B49" i="12"/>
  <c r="Z48" i="12"/>
  <c r="X48" i="12"/>
  <c r="N48" i="12"/>
  <c r="L48" i="12"/>
  <c r="B48" i="12"/>
  <c r="Z47" i="12"/>
  <c r="X47" i="12"/>
  <c r="N47" i="12"/>
  <c r="L47" i="12"/>
  <c r="B47" i="12"/>
  <c r="Z46" i="12"/>
  <c r="X46" i="12"/>
  <c r="N46" i="12"/>
  <c r="L46" i="12"/>
  <c r="B46" i="12"/>
  <c r="Z45" i="12"/>
  <c r="X45" i="12"/>
  <c r="N45" i="12"/>
  <c r="L45" i="12"/>
  <c r="B45" i="12"/>
  <c r="Z44" i="12"/>
  <c r="X44" i="12"/>
  <c r="V44" i="12"/>
  <c r="N44" i="12"/>
  <c r="L44" i="12"/>
  <c r="B44" i="12"/>
  <c r="Z43" i="12"/>
  <c r="X43" i="12"/>
  <c r="N43" i="12"/>
  <c r="L43" i="12"/>
  <c r="B43" i="12"/>
  <c r="Z42" i="12"/>
  <c r="X42" i="12"/>
  <c r="V42" i="12"/>
  <c r="N42" i="12"/>
  <c r="L42" i="12"/>
  <c r="B42" i="12"/>
  <c r="Z41" i="12"/>
  <c r="X41" i="12"/>
  <c r="V41" i="12"/>
  <c r="N41" i="12"/>
  <c r="L41" i="12"/>
  <c r="B41" i="12"/>
  <c r="Z40" i="12"/>
  <c r="X40" i="12"/>
  <c r="N40" i="12"/>
  <c r="L40" i="12"/>
  <c r="B40" i="12"/>
  <c r="Z39" i="12"/>
  <c r="X39" i="12"/>
  <c r="N39" i="12"/>
  <c r="L39" i="12"/>
  <c r="B39" i="12"/>
  <c r="Z38" i="12"/>
  <c r="X38" i="12"/>
  <c r="N38" i="12"/>
  <c r="L38" i="12"/>
  <c r="B38" i="12"/>
  <c r="Z37" i="12"/>
  <c r="X37" i="12"/>
  <c r="N37" i="12"/>
  <c r="L37" i="12"/>
  <c r="B37" i="12"/>
  <c r="Z36" i="12"/>
  <c r="X36" i="12"/>
  <c r="V36" i="12"/>
  <c r="N36" i="12"/>
  <c r="L36" i="12"/>
  <c r="B36" i="12"/>
  <c r="Z35" i="12"/>
  <c r="X35" i="12"/>
  <c r="N35" i="12"/>
  <c r="L35" i="12"/>
  <c r="B35" i="12"/>
  <c r="Z34" i="12"/>
  <c r="X34" i="12"/>
  <c r="V34" i="12"/>
  <c r="N34" i="12"/>
  <c r="L34" i="12"/>
  <c r="B34" i="12"/>
  <c r="Z33" i="12"/>
  <c r="X33" i="12"/>
  <c r="V33" i="12"/>
  <c r="N33" i="12"/>
  <c r="L33" i="12"/>
  <c r="B33" i="12"/>
  <c r="Z32" i="12"/>
  <c r="X32" i="12"/>
  <c r="N32" i="12"/>
  <c r="L32" i="12"/>
  <c r="B32" i="12"/>
  <c r="Z31" i="12"/>
  <c r="X31" i="12"/>
  <c r="N31" i="12"/>
  <c r="L31" i="12"/>
  <c r="B31" i="12"/>
  <c r="Z30" i="12"/>
  <c r="X30" i="12"/>
  <c r="N30" i="12"/>
  <c r="L30" i="12"/>
  <c r="B30" i="12"/>
  <c r="Z29" i="12"/>
  <c r="X29" i="12"/>
  <c r="N29" i="12"/>
  <c r="L29" i="12"/>
  <c r="B29" i="12"/>
  <c r="Z28" i="12"/>
  <c r="X28" i="12"/>
  <c r="V28" i="12"/>
  <c r="N28" i="12"/>
  <c r="L28" i="12"/>
  <c r="B28" i="12"/>
  <c r="Z27" i="12"/>
  <c r="X27" i="12"/>
  <c r="V27" i="12"/>
  <c r="N27" i="12"/>
  <c r="L27" i="12"/>
  <c r="B27" i="12"/>
  <c r="Z26" i="12"/>
  <c r="X26" i="12"/>
  <c r="V26" i="12"/>
  <c r="N26" i="12"/>
  <c r="L26" i="12"/>
  <c r="B26" i="12"/>
  <c r="Z25" i="12"/>
  <c r="X25" i="12"/>
  <c r="V25" i="12"/>
  <c r="N25" i="12"/>
  <c r="L25" i="12"/>
  <c r="B25" i="12"/>
  <c r="Z24" i="12"/>
  <c r="X24" i="12"/>
  <c r="N24" i="12"/>
  <c r="L24" i="12"/>
  <c r="B24" i="12"/>
  <c r="Z23" i="12"/>
  <c r="X23" i="12"/>
  <c r="N23" i="12"/>
  <c r="L23" i="12"/>
  <c r="B23" i="12"/>
  <c r="X22" i="12"/>
  <c r="Z22" i="12" s="1"/>
  <c r="N22" i="12"/>
  <c r="L22" i="12"/>
  <c r="B22" i="12"/>
  <c r="T21" i="12"/>
  <c r="Z21" i="12" s="1"/>
  <c r="P21" i="12"/>
  <c r="X21" i="12" s="1"/>
  <c r="H21" i="12"/>
  <c r="D21" i="12"/>
  <c r="L21" i="12" s="1"/>
  <c r="N21" i="12" s="1"/>
  <c r="Z19" i="12"/>
  <c r="X19" i="12"/>
  <c r="P19" i="12"/>
  <c r="N19" i="12"/>
  <c r="L19" i="12"/>
  <c r="D19" i="12"/>
  <c r="B19" i="12"/>
  <c r="Z18" i="12"/>
  <c r="P18" i="12"/>
  <c r="X18" i="12" s="1"/>
  <c r="N18" i="12"/>
  <c r="D18" i="12"/>
  <c r="L18" i="12" s="1"/>
  <c r="B18" i="12"/>
  <c r="Z17" i="12"/>
  <c r="X17" i="12"/>
  <c r="P17" i="12"/>
  <c r="N17" i="12"/>
  <c r="L17" i="12"/>
  <c r="D17" i="12"/>
  <c r="B17" i="12"/>
  <c r="Z16" i="12"/>
  <c r="P16" i="12"/>
  <c r="N16" i="12"/>
  <c r="L16" i="12"/>
  <c r="D16" i="12"/>
  <c r="B16" i="12"/>
  <c r="Z15" i="12"/>
  <c r="P15" i="12"/>
  <c r="X15" i="12" s="1"/>
  <c r="N15" i="12"/>
  <c r="D15" i="12"/>
  <c r="L15" i="12" s="1"/>
  <c r="B15" i="12"/>
  <c r="X14" i="12"/>
  <c r="Z14" i="12" s="1"/>
  <c r="P14" i="12"/>
  <c r="L14" i="12"/>
  <c r="N14" i="12" s="1"/>
  <c r="D14" i="12"/>
  <c r="B14" i="12"/>
  <c r="P13" i="12"/>
  <c r="X13" i="12" s="1"/>
  <c r="Z13" i="12" s="1"/>
  <c r="D13" i="12"/>
  <c r="B13" i="12"/>
  <c r="T12" i="12"/>
  <c r="V149" i="12" s="1"/>
  <c r="H12" i="12"/>
  <c r="J64" i="12" s="1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24" i="11" s="1"/>
  <c r="P12" i="11"/>
  <c r="R36" i="11" s="1"/>
  <c r="H12" i="11"/>
  <c r="J16" i="11" s="1"/>
  <c r="D12" i="11"/>
  <c r="F27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36" i="10" s="1"/>
  <c r="P12" i="10"/>
  <c r="R24" i="10" s="1"/>
  <c r="H12" i="10"/>
  <c r="J27" i="10" s="1"/>
  <c r="D12" i="10"/>
  <c r="F20" i="10" s="1"/>
  <c r="D5" i="10"/>
  <c r="D4" i="10"/>
  <c r="Z97" i="9"/>
  <c r="X97" i="9"/>
  <c r="N97" i="9"/>
  <c r="L97" i="9"/>
  <c r="X93" i="9"/>
  <c r="T93" i="9"/>
  <c r="Z93" i="9" s="1"/>
  <c r="P93" i="9"/>
  <c r="H93" i="9"/>
  <c r="N93" i="9" s="1"/>
  <c r="D93" i="9"/>
  <c r="L93" i="9" s="1"/>
  <c r="Z91" i="9"/>
  <c r="X91" i="9"/>
  <c r="N91" i="9"/>
  <c r="L91" i="9"/>
  <c r="B91" i="9"/>
  <c r="Z90" i="9"/>
  <c r="X90" i="9"/>
  <c r="T90" i="9"/>
  <c r="P90" i="9"/>
  <c r="H90" i="9"/>
  <c r="N90" i="9" s="1"/>
  <c r="D90" i="9"/>
  <c r="B90" i="9"/>
  <c r="Z89" i="9"/>
  <c r="X89" i="9"/>
  <c r="N89" i="9"/>
  <c r="L89" i="9"/>
  <c r="B89" i="9"/>
  <c r="T88" i="9"/>
  <c r="P88" i="9"/>
  <c r="H88" i="9"/>
  <c r="D88" i="9"/>
  <c r="L88" i="9" s="1"/>
  <c r="N88" i="9" s="1"/>
  <c r="B88" i="9"/>
  <c r="X87" i="9"/>
  <c r="Z87" i="9" s="1"/>
  <c r="L87" i="9"/>
  <c r="N87" i="9" s="1"/>
  <c r="B87" i="9"/>
  <c r="Z86" i="9"/>
  <c r="X86" i="9"/>
  <c r="L86" i="9"/>
  <c r="N86" i="9" s="1"/>
  <c r="B86" i="9"/>
  <c r="T85" i="9"/>
  <c r="P85" i="9"/>
  <c r="X85" i="9" s="1"/>
  <c r="L85" i="9"/>
  <c r="H85" i="9"/>
  <c r="N85" i="9" s="1"/>
  <c r="D85" i="9"/>
  <c r="B85" i="9"/>
  <c r="Z84" i="9"/>
  <c r="X84" i="9"/>
  <c r="N84" i="9"/>
  <c r="L84" i="9"/>
  <c r="B84" i="9"/>
  <c r="X83" i="9"/>
  <c r="Z83" i="9" s="1"/>
  <c r="N83" i="9"/>
  <c r="L83" i="9"/>
  <c r="B83" i="9"/>
  <c r="Z82" i="9"/>
  <c r="X82" i="9"/>
  <c r="L82" i="9"/>
  <c r="N82" i="9" s="1"/>
  <c r="B82" i="9"/>
  <c r="Z81" i="9"/>
  <c r="X81" i="9"/>
  <c r="N81" i="9"/>
  <c r="L81" i="9"/>
  <c r="B81" i="9"/>
  <c r="Z80" i="9"/>
  <c r="X80" i="9"/>
  <c r="N80" i="9"/>
  <c r="L80" i="9"/>
  <c r="B80" i="9"/>
  <c r="X79" i="9"/>
  <c r="Z79" i="9" s="1"/>
  <c r="L79" i="9"/>
  <c r="N79" i="9" s="1"/>
  <c r="B79" i="9"/>
  <c r="X78" i="9"/>
  <c r="Z78" i="9" s="1"/>
  <c r="T78" i="9"/>
  <c r="P78" i="9"/>
  <c r="H78" i="9"/>
  <c r="N78" i="9" s="1"/>
  <c r="D78" i="9"/>
  <c r="L78" i="9" s="1"/>
  <c r="B78" i="9"/>
  <c r="Z77" i="9"/>
  <c r="X77" i="9"/>
  <c r="N77" i="9"/>
  <c r="L77" i="9"/>
  <c r="B77" i="9"/>
  <c r="T76" i="9"/>
  <c r="Z76" i="9" s="1"/>
  <c r="P76" i="9"/>
  <c r="X76" i="9" s="1"/>
  <c r="H76" i="9"/>
  <c r="D76" i="9"/>
  <c r="L76" i="9" s="1"/>
  <c r="N76" i="9" s="1"/>
  <c r="B76" i="9"/>
  <c r="X75" i="9"/>
  <c r="Z75" i="9" s="1"/>
  <c r="L75" i="9"/>
  <c r="N75" i="9" s="1"/>
  <c r="B75" i="9"/>
  <c r="Z74" i="9"/>
  <c r="X74" i="9"/>
  <c r="L74" i="9"/>
  <c r="N74" i="9" s="1"/>
  <c r="B74" i="9"/>
  <c r="T73" i="9"/>
  <c r="P73" i="9"/>
  <c r="X73" i="9" s="1"/>
  <c r="Z73" i="9" s="1"/>
  <c r="L73" i="9"/>
  <c r="H73" i="9"/>
  <c r="N73" i="9" s="1"/>
  <c r="D73" i="9"/>
  <c r="B73" i="9"/>
  <c r="Z72" i="9"/>
  <c r="X72" i="9"/>
  <c r="N72" i="9"/>
  <c r="L72" i="9"/>
  <c r="B72" i="9"/>
  <c r="X71" i="9"/>
  <c r="Z71" i="9" s="1"/>
  <c r="L71" i="9"/>
  <c r="N71" i="9" s="1"/>
  <c r="B71" i="9"/>
  <c r="Z70" i="9"/>
  <c r="X70" i="9"/>
  <c r="N70" i="9"/>
  <c r="L70" i="9"/>
  <c r="B70" i="9"/>
  <c r="Z69" i="9"/>
  <c r="X69" i="9"/>
  <c r="N69" i="9"/>
  <c r="L69" i="9"/>
  <c r="B69" i="9"/>
  <c r="T68" i="9"/>
  <c r="P68" i="9"/>
  <c r="X68" i="9" s="1"/>
  <c r="H68" i="9"/>
  <c r="D68" i="9"/>
  <c r="L68" i="9" s="1"/>
  <c r="N68" i="9" s="1"/>
  <c r="B68" i="9"/>
  <c r="X67" i="9"/>
  <c r="Z67" i="9" s="1"/>
  <c r="L67" i="9"/>
  <c r="N67" i="9" s="1"/>
  <c r="B67" i="9"/>
  <c r="Z66" i="9"/>
  <c r="X66" i="9"/>
  <c r="L66" i="9"/>
  <c r="N66" i="9" s="1"/>
  <c r="B66" i="9"/>
  <c r="Z65" i="9"/>
  <c r="X65" i="9"/>
  <c r="N65" i="9"/>
  <c r="L65" i="9"/>
  <c r="B65" i="9"/>
  <c r="Z64" i="9"/>
  <c r="X64" i="9"/>
  <c r="N64" i="9"/>
  <c r="L64" i="9"/>
  <c r="B64" i="9"/>
  <c r="T63" i="9"/>
  <c r="P63" i="9"/>
  <c r="X63" i="9" s="1"/>
  <c r="H63" i="9"/>
  <c r="D63" i="9"/>
  <c r="L63" i="9" s="1"/>
  <c r="N63" i="9" s="1"/>
  <c r="B63" i="9"/>
  <c r="Z62" i="9"/>
  <c r="X62" i="9"/>
  <c r="L62" i="9"/>
  <c r="N62" i="9" s="1"/>
  <c r="B62" i="9"/>
  <c r="T61" i="9"/>
  <c r="P61" i="9"/>
  <c r="X61" i="9" s="1"/>
  <c r="Z61" i="9" s="1"/>
  <c r="L61" i="9"/>
  <c r="N61" i="9" s="1"/>
  <c r="H61" i="9"/>
  <c r="D61" i="9"/>
  <c r="B61" i="9"/>
  <c r="Z60" i="9"/>
  <c r="X60" i="9"/>
  <c r="N60" i="9"/>
  <c r="L60" i="9"/>
  <c r="B60" i="9"/>
  <c r="Z59" i="9"/>
  <c r="X59" i="9"/>
  <c r="T59" i="9"/>
  <c r="P59" i="9"/>
  <c r="H59" i="9"/>
  <c r="N59" i="9" s="1"/>
  <c r="D59" i="9"/>
  <c r="B59" i="9"/>
  <c r="X58" i="9"/>
  <c r="Z58" i="9" s="1"/>
  <c r="N58" i="9"/>
  <c r="L58" i="9"/>
  <c r="B58" i="9"/>
  <c r="T57" i="9"/>
  <c r="P57" i="9"/>
  <c r="H57" i="9"/>
  <c r="D57" i="9"/>
  <c r="L57" i="9" s="1"/>
  <c r="B57" i="9"/>
  <c r="Z56" i="9"/>
  <c r="X56" i="9"/>
  <c r="N56" i="9"/>
  <c r="L56" i="9"/>
  <c r="B56" i="9"/>
  <c r="T55" i="9"/>
  <c r="P55" i="9"/>
  <c r="X55" i="9" s="1"/>
  <c r="H55" i="9"/>
  <c r="N55" i="9" s="1"/>
  <c r="D55" i="9"/>
  <c r="L55" i="9" s="1"/>
  <c r="B55" i="9"/>
  <c r="Z54" i="9"/>
  <c r="X54" i="9"/>
  <c r="L54" i="9"/>
  <c r="N54" i="9" s="1"/>
  <c r="B54" i="9"/>
  <c r="T53" i="9"/>
  <c r="P53" i="9"/>
  <c r="X53" i="9" s="1"/>
  <c r="L53" i="9"/>
  <c r="N53" i="9" s="1"/>
  <c r="H53" i="9"/>
  <c r="D53" i="9"/>
  <c r="B53" i="9"/>
  <c r="Z52" i="9"/>
  <c r="X52" i="9"/>
  <c r="N52" i="9"/>
  <c r="L52" i="9"/>
  <c r="B52" i="9"/>
  <c r="X51" i="9"/>
  <c r="Z51" i="9" s="1"/>
  <c r="T51" i="9"/>
  <c r="P51" i="9"/>
  <c r="H51" i="9"/>
  <c r="D51" i="9"/>
  <c r="B51" i="9"/>
  <c r="X50" i="9"/>
  <c r="Z50" i="9" s="1"/>
  <c r="N50" i="9"/>
  <c r="L50" i="9"/>
  <c r="B50" i="9"/>
  <c r="Z49" i="9"/>
  <c r="X49" i="9"/>
  <c r="N49" i="9"/>
  <c r="L49" i="9"/>
  <c r="B49" i="9"/>
  <c r="T48" i="9"/>
  <c r="X48" i="9" s="1"/>
  <c r="Z48" i="9" s="1"/>
  <c r="P48" i="9"/>
  <c r="L48" i="9"/>
  <c r="N48" i="9" s="1"/>
  <c r="H48" i="9"/>
  <c r="D48" i="9"/>
  <c r="B48" i="9"/>
  <c r="X47" i="9"/>
  <c r="Z47" i="9" s="1"/>
  <c r="L47" i="9"/>
  <c r="N47" i="9" s="1"/>
  <c r="B47" i="9"/>
  <c r="X46" i="9"/>
  <c r="Z46" i="9" s="1"/>
  <c r="T46" i="9"/>
  <c r="P46" i="9"/>
  <c r="H46" i="9"/>
  <c r="N46" i="9" s="1"/>
  <c r="D46" i="9"/>
  <c r="L46" i="9" s="1"/>
  <c r="B46" i="9"/>
  <c r="Z45" i="9"/>
  <c r="X45" i="9"/>
  <c r="N45" i="9"/>
  <c r="L45" i="9"/>
  <c r="B45" i="9"/>
  <c r="T44" i="9"/>
  <c r="Z44" i="9" s="1"/>
  <c r="P44" i="9"/>
  <c r="X44" i="9" s="1"/>
  <c r="H44" i="9"/>
  <c r="D44" i="9"/>
  <c r="L44" i="9" s="1"/>
  <c r="N44" i="9" s="1"/>
  <c r="B44" i="9"/>
  <c r="X43" i="9"/>
  <c r="Z43" i="9" s="1"/>
  <c r="L43" i="9"/>
  <c r="N43" i="9" s="1"/>
  <c r="B43" i="9"/>
  <c r="T42" i="9"/>
  <c r="P42" i="9"/>
  <c r="X42" i="9" s="1"/>
  <c r="Z42" i="9" s="1"/>
  <c r="N42" i="9"/>
  <c r="L42" i="9"/>
  <c r="H42" i="9"/>
  <c r="D42" i="9"/>
  <c r="B42" i="9"/>
  <c r="Z41" i="9"/>
  <c r="X41" i="9"/>
  <c r="N41" i="9"/>
  <c r="L41" i="9"/>
  <c r="B41" i="9"/>
  <c r="Z40" i="9"/>
  <c r="X40" i="9"/>
  <c r="N40" i="9"/>
  <c r="L40" i="9"/>
  <c r="B40" i="9"/>
  <c r="Z39" i="9"/>
  <c r="X39" i="9"/>
  <c r="N39" i="9"/>
  <c r="L39" i="9"/>
  <c r="B39" i="9"/>
  <c r="Z38" i="9"/>
  <c r="X38" i="9"/>
  <c r="L38" i="9"/>
  <c r="N38" i="9" s="1"/>
  <c r="B38" i="9"/>
  <c r="Z37" i="9"/>
  <c r="X37" i="9"/>
  <c r="N37" i="9"/>
  <c r="L37" i="9"/>
  <c r="B37" i="9"/>
  <c r="X36" i="9"/>
  <c r="Z36" i="9" s="1"/>
  <c r="L36" i="9"/>
  <c r="N36" i="9" s="1"/>
  <c r="J36" i="9"/>
  <c r="B36" i="9"/>
  <c r="X35" i="9"/>
  <c r="Z35" i="9" s="1"/>
  <c r="L35" i="9"/>
  <c r="N35" i="9" s="1"/>
  <c r="B35" i="9"/>
  <c r="Z34" i="9"/>
  <c r="X34" i="9"/>
  <c r="N34" i="9"/>
  <c r="L34" i="9"/>
  <c r="B34" i="9"/>
  <c r="Z33" i="9"/>
  <c r="X33" i="9"/>
  <c r="R33" i="9"/>
  <c r="N33" i="9"/>
  <c r="L33" i="9"/>
  <c r="B33" i="9"/>
  <c r="X32" i="9"/>
  <c r="Z32" i="9" s="1"/>
  <c r="V32" i="9"/>
  <c r="L32" i="9"/>
  <c r="N32" i="9" s="1"/>
  <c r="B32" i="9"/>
  <c r="X31" i="9"/>
  <c r="Z31" i="9" s="1"/>
  <c r="T31" i="9"/>
  <c r="P31" i="9"/>
  <c r="H31" i="9"/>
  <c r="D31" i="9"/>
  <c r="B31" i="9"/>
  <c r="X30" i="9"/>
  <c r="Z30" i="9" s="1"/>
  <c r="N30" i="9"/>
  <c r="L30" i="9"/>
  <c r="B30" i="9"/>
  <c r="Z29" i="9"/>
  <c r="X29" i="9"/>
  <c r="R29" i="9"/>
  <c r="L29" i="9"/>
  <c r="N29" i="9" s="1"/>
  <c r="B29" i="9"/>
  <c r="Z28" i="9"/>
  <c r="X28" i="9"/>
  <c r="V28" i="9"/>
  <c r="N28" i="9"/>
  <c r="L28" i="9"/>
  <c r="B28" i="9"/>
  <c r="X27" i="9"/>
  <c r="Z27" i="9" s="1"/>
  <c r="L27" i="9"/>
  <c r="N27" i="9" s="1"/>
  <c r="B27" i="9"/>
  <c r="Z26" i="9"/>
  <c r="X26" i="9"/>
  <c r="N26" i="9"/>
  <c r="L26" i="9"/>
  <c r="B26" i="9"/>
  <c r="X25" i="9"/>
  <c r="Z25" i="9" s="1"/>
  <c r="N25" i="9"/>
  <c r="L25" i="9"/>
  <c r="B25" i="9"/>
  <c r="Z24" i="9"/>
  <c r="X24" i="9"/>
  <c r="N24" i="9"/>
  <c r="L24" i="9"/>
  <c r="J24" i="9"/>
  <c r="B24" i="9"/>
  <c r="X23" i="9"/>
  <c r="Z23" i="9" s="1"/>
  <c r="L23" i="9"/>
  <c r="N23" i="9" s="1"/>
  <c r="B23" i="9"/>
  <c r="X22" i="9"/>
  <c r="Z22" i="9" s="1"/>
  <c r="N22" i="9"/>
  <c r="L22" i="9"/>
  <c r="B22" i="9"/>
  <c r="Z21" i="9"/>
  <c r="X21" i="9"/>
  <c r="R21" i="9"/>
  <c r="L21" i="9"/>
  <c r="N21" i="9" s="1"/>
  <c r="B21" i="9"/>
  <c r="Z20" i="9"/>
  <c r="X20" i="9"/>
  <c r="V20" i="9"/>
  <c r="N20" i="9"/>
  <c r="L20" i="9"/>
  <c r="B20" i="9"/>
  <c r="X19" i="9"/>
  <c r="T19" i="9"/>
  <c r="Z19" i="9" s="1"/>
  <c r="P19" i="9"/>
  <c r="H19" i="9"/>
  <c r="D19" i="9"/>
  <c r="B19" i="9"/>
  <c r="T18" i="9"/>
  <c r="Z18" i="9" s="1"/>
  <c r="R18" i="9"/>
  <c r="P18" i="9"/>
  <c r="X18" i="9" s="1"/>
  <c r="H18" i="9"/>
  <c r="N18" i="9" s="1"/>
  <c r="D18" i="9"/>
  <c r="L18" i="9" s="1"/>
  <c r="R16" i="9"/>
  <c r="P16" i="9"/>
  <c r="P95" i="9" s="1"/>
  <c r="J16" i="9"/>
  <c r="V14" i="9"/>
  <c r="T14" i="9"/>
  <c r="Z14" i="9" s="1"/>
  <c r="R14" i="9"/>
  <c r="P14" i="9"/>
  <c r="H14" i="9"/>
  <c r="N14" i="9" s="1"/>
  <c r="D14" i="9"/>
  <c r="L14" i="9" s="1"/>
  <c r="Z12" i="9"/>
  <c r="X12" i="9"/>
  <c r="T12" i="9"/>
  <c r="V86" i="9" s="1"/>
  <c r="P12" i="9"/>
  <c r="R87" i="9" s="1"/>
  <c r="N12" i="9"/>
  <c r="H12" i="9"/>
  <c r="J88" i="9" s="1"/>
  <c r="D12" i="9"/>
  <c r="F97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24" i="8" s="1"/>
  <c r="P12" i="8"/>
  <c r="R20" i="8" s="1"/>
  <c r="H12" i="8"/>
  <c r="J18" i="8" s="1"/>
  <c r="D12" i="8"/>
  <c r="F24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34" i="7" s="1"/>
  <c r="P12" i="7"/>
  <c r="H12" i="7"/>
  <c r="J21" i="7" s="1"/>
  <c r="D12" i="7"/>
  <c r="F34" i="7" s="1"/>
  <c r="D5" i="7"/>
  <c r="D4" i="7"/>
  <c r="R31" i="6"/>
  <c r="X29" i="6"/>
  <c r="Z29" i="6" s="1"/>
  <c r="T29" i="6"/>
  <c r="P29" i="6"/>
  <c r="J29" i="6"/>
  <c r="H29" i="6"/>
  <c r="N29" i="6" s="1"/>
  <c r="F29" i="6"/>
  <c r="D29" i="6"/>
  <c r="L29" i="6" s="1"/>
  <c r="T28" i="6"/>
  <c r="R28" i="6"/>
  <c r="P28" i="6"/>
  <c r="X28" i="6" s="1"/>
  <c r="Z28" i="6" s="1"/>
  <c r="N28" i="6"/>
  <c r="L28" i="6"/>
  <c r="H28" i="6"/>
  <c r="D28" i="6"/>
  <c r="J26" i="6"/>
  <c r="F26" i="6"/>
  <c r="Z24" i="6"/>
  <c r="X24" i="6"/>
  <c r="N24" i="6"/>
  <c r="L24" i="6"/>
  <c r="J24" i="6"/>
  <c r="R22" i="6"/>
  <c r="Z20" i="6"/>
  <c r="X20" i="6"/>
  <c r="T20" i="6"/>
  <c r="P20" i="6"/>
  <c r="J20" i="6"/>
  <c r="H20" i="6"/>
  <c r="N20" i="6" s="1"/>
  <c r="F20" i="6"/>
  <c r="D20" i="6"/>
  <c r="L20" i="6" s="1"/>
  <c r="Z18" i="6"/>
  <c r="T18" i="6"/>
  <c r="R18" i="6"/>
  <c r="P18" i="6"/>
  <c r="X18" i="6" s="1"/>
  <c r="N18" i="6"/>
  <c r="H18" i="6"/>
  <c r="D18" i="6"/>
  <c r="L18" i="6" s="1"/>
  <c r="R16" i="6"/>
  <c r="J16" i="6"/>
  <c r="H16" i="6"/>
  <c r="H22" i="6" s="1"/>
  <c r="F16" i="6"/>
  <c r="Z14" i="6"/>
  <c r="T14" i="6"/>
  <c r="R14" i="6"/>
  <c r="P14" i="6"/>
  <c r="X14" i="6" s="1"/>
  <c r="N14" i="6"/>
  <c r="H14" i="6"/>
  <c r="F14" i="6"/>
  <c r="D14" i="6"/>
  <c r="L14" i="6" s="1"/>
  <c r="Z12" i="6"/>
  <c r="X12" i="6"/>
  <c r="T12" i="6"/>
  <c r="T16" i="6" s="1"/>
  <c r="P12" i="6"/>
  <c r="R29" i="6" s="1"/>
  <c r="H12" i="6"/>
  <c r="J31" i="6" s="1"/>
  <c r="D12" i="6"/>
  <c r="F24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21" i="5" s="1"/>
  <c r="P12" i="5"/>
  <c r="R34" i="5" s="1"/>
  <c r="H12" i="5"/>
  <c r="J36" i="5" s="1"/>
  <c r="D12" i="5"/>
  <c r="F21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24" i="4" s="1"/>
  <c r="P12" i="4"/>
  <c r="R20" i="4" s="1"/>
  <c r="H12" i="4"/>
  <c r="J18" i="4" s="1"/>
  <c r="D12" i="4"/>
  <c r="F24" i="4" s="1"/>
  <c r="D5" i="4"/>
  <c r="D4" i="4"/>
  <c r="X181" i="3"/>
  <c r="T181" i="3"/>
  <c r="Z181" i="3" s="1"/>
  <c r="P181" i="3"/>
  <c r="H181" i="3"/>
  <c r="D181" i="3"/>
  <c r="L181" i="3" s="1"/>
  <c r="T180" i="3"/>
  <c r="Z180" i="3" s="1"/>
  <c r="P180" i="3"/>
  <c r="X180" i="3" s="1"/>
  <c r="N180" i="3"/>
  <c r="L180" i="3"/>
  <c r="H180" i="3"/>
  <c r="D180" i="3"/>
  <c r="X176" i="3"/>
  <c r="Z176" i="3" s="1"/>
  <c r="L176" i="3"/>
  <c r="N176" i="3" s="1"/>
  <c r="Z172" i="3"/>
  <c r="X172" i="3"/>
  <c r="P172" i="3"/>
  <c r="N172" i="3"/>
  <c r="D172" i="3"/>
  <c r="L172" i="3" s="1"/>
  <c r="B172" i="3"/>
  <c r="Z171" i="3"/>
  <c r="P171" i="3"/>
  <c r="X171" i="3" s="1"/>
  <c r="N171" i="3"/>
  <c r="L171" i="3"/>
  <c r="D171" i="3"/>
  <c r="B171" i="3"/>
  <c r="Z170" i="3"/>
  <c r="P170" i="3"/>
  <c r="X170" i="3" s="1"/>
  <c r="N170" i="3"/>
  <c r="D170" i="3"/>
  <c r="L170" i="3" s="1"/>
  <c r="B170" i="3"/>
  <c r="Z169" i="3"/>
  <c r="X169" i="3"/>
  <c r="P169" i="3"/>
  <c r="N169" i="3"/>
  <c r="D169" i="3"/>
  <c r="L169" i="3" s="1"/>
  <c r="B169" i="3"/>
  <c r="X168" i="3"/>
  <c r="Z168" i="3" s="1"/>
  <c r="P168" i="3"/>
  <c r="L168" i="3"/>
  <c r="N168" i="3" s="1"/>
  <c r="D168" i="3"/>
  <c r="B168" i="3"/>
  <c r="P167" i="3"/>
  <c r="X167" i="3" s="1"/>
  <c r="Z167" i="3" s="1"/>
  <c r="L167" i="3"/>
  <c r="N167" i="3" s="1"/>
  <c r="D167" i="3"/>
  <c r="B167" i="3"/>
  <c r="Z166" i="3"/>
  <c r="X166" i="3"/>
  <c r="P166" i="3"/>
  <c r="N166" i="3"/>
  <c r="D166" i="3"/>
  <c r="L166" i="3" s="1"/>
  <c r="B166" i="3"/>
  <c r="Z165" i="3"/>
  <c r="P165" i="3"/>
  <c r="P164" i="3" s="1"/>
  <c r="X164" i="3" s="1"/>
  <c r="N165" i="3"/>
  <c r="L165" i="3"/>
  <c r="D165" i="3"/>
  <c r="B165" i="3"/>
  <c r="T164" i="3"/>
  <c r="H164" i="3"/>
  <c r="X162" i="3"/>
  <c r="Z162" i="3" s="1"/>
  <c r="L162" i="3"/>
  <c r="N162" i="3" s="1"/>
  <c r="B162" i="3"/>
  <c r="T161" i="3"/>
  <c r="P161" i="3"/>
  <c r="X161" i="3" s="1"/>
  <c r="Z161" i="3" s="1"/>
  <c r="N161" i="3"/>
  <c r="L161" i="3"/>
  <c r="H161" i="3"/>
  <c r="D161" i="3"/>
  <c r="B161" i="3"/>
  <c r="Z160" i="3"/>
  <c r="X160" i="3"/>
  <c r="L160" i="3"/>
  <c r="N160" i="3" s="1"/>
  <c r="B160" i="3"/>
  <c r="Z159" i="3"/>
  <c r="X159" i="3"/>
  <c r="L159" i="3"/>
  <c r="N159" i="3" s="1"/>
  <c r="B159" i="3"/>
  <c r="X158" i="3"/>
  <c r="Z158" i="3" s="1"/>
  <c r="L158" i="3"/>
  <c r="N158" i="3" s="1"/>
  <c r="B158" i="3"/>
  <c r="T157" i="3"/>
  <c r="P157" i="3"/>
  <c r="X157" i="3" s="1"/>
  <c r="H157" i="3"/>
  <c r="D157" i="3"/>
  <c r="L157" i="3" s="1"/>
  <c r="N157" i="3" s="1"/>
  <c r="B157" i="3"/>
  <c r="Z156" i="3"/>
  <c r="X156" i="3"/>
  <c r="L156" i="3"/>
  <c r="N156" i="3" s="1"/>
  <c r="B156" i="3"/>
  <c r="T155" i="3"/>
  <c r="P155" i="3"/>
  <c r="X155" i="3" s="1"/>
  <c r="Z155" i="3" s="1"/>
  <c r="N155" i="3"/>
  <c r="L155" i="3"/>
  <c r="H155" i="3"/>
  <c r="D155" i="3"/>
  <c r="B155" i="3"/>
  <c r="X154" i="3"/>
  <c r="Z154" i="3" s="1"/>
  <c r="N154" i="3"/>
  <c r="L154" i="3"/>
  <c r="B154" i="3"/>
  <c r="Z153" i="3"/>
  <c r="X153" i="3"/>
  <c r="L153" i="3"/>
  <c r="N153" i="3" s="1"/>
  <c r="B153" i="3"/>
  <c r="Z152" i="3"/>
  <c r="X152" i="3"/>
  <c r="T152" i="3"/>
  <c r="P152" i="3"/>
  <c r="L152" i="3"/>
  <c r="H152" i="3"/>
  <c r="N152" i="3" s="1"/>
  <c r="D152" i="3"/>
  <c r="B152" i="3"/>
  <c r="X151" i="3"/>
  <c r="Z151" i="3" s="1"/>
  <c r="N151" i="3"/>
  <c r="L151" i="3"/>
  <c r="B151" i="3"/>
  <c r="X150" i="3"/>
  <c r="Z150" i="3" s="1"/>
  <c r="N150" i="3"/>
  <c r="L150" i="3"/>
  <c r="B150" i="3"/>
  <c r="Z149" i="3"/>
  <c r="X149" i="3"/>
  <c r="L149" i="3"/>
  <c r="N149" i="3" s="1"/>
  <c r="B149" i="3"/>
  <c r="Z148" i="3"/>
  <c r="X148" i="3"/>
  <c r="L148" i="3"/>
  <c r="N148" i="3" s="1"/>
  <c r="B148" i="3"/>
  <c r="Z147" i="3"/>
  <c r="X147" i="3"/>
  <c r="N147" i="3"/>
  <c r="L147" i="3"/>
  <c r="B147" i="3"/>
  <c r="Z146" i="3"/>
  <c r="X146" i="3"/>
  <c r="L146" i="3"/>
  <c r="N146" i="3" s="1"/>
  <c r="B146" i="3"/>
  <c r="X145" i="3"/>
  <c r="Z145" i="3" s="1"/>
  <c r="N145" i="3"/>
  <c r="L145" i="3"/>
  <c r="B145" i="3"/>
  <c r="X144" i="3"/>
  <c r="Z144" i="3" s="1"/>
  <c r="N144" i="3"/>
  <c r="L144" i="3"/>
  <c r="B144" i="3"/>
  <c r="Z143" i="3"/>
  <c r="X143" i="3"/>
  <c r="N143" i="3"/>
  <c r="L143" i="3"/>
  <c r="B143" i="3"/>
  <c r="X142" i="3"/>
  <c r="Z142" i="3" s="1"/>
  <c r="L142" i="3"/>
  <c r="N142" i="3" s="1"/>
  <c r="B142" i="3"/>
  <c r="Z141" i="3"/>
  <c r="X141" i="3"/>
  <c r="T141" i="3"/>
  <c r="P141" i="3"/>
  <c r="H141" i="3"/>
  <c r="N141" i="3" s="1"/>
  <c r="D141" i="3"/>
  <c r="L141" i="3" s="1"/>
  <c r="B141" i="3"/>
  <c r="Z140" i="3"/>
  <c r="X140" i="3"/>
  <c r="N140" i="3"/>
  <c r="L140" i="3"/>
  <c r="B140" i="3"/>
  <c r="Z139" i="3"/>
  <c r="X139" i="3"/>
  <c r="L139" i="3"/>
  <c r="N139" i="3" s="1"/>
  <c r="B139" i="3"/>
  <c r="X138" i="3"/>
  <c r="T138" i="3"/>
  <c r="Z138" i="3" s="1"/>
  <c r="P138" i="3"/>
  <c r="H138" i="3"/>
  <c r="N138" i="3" s="1"/>
  <c r="D138" i="3"/>
  <c r="L138" i="3" s="1"/>
  <c r="B138" i="3"/>
  <c r="Z137" i="3"/>
  <c r="X137" i="3"/>
  <c r="N137" i="3"/>
  <c r="L137" i="3"/>
  <c r="B137" i="3"/>
  <c r="Z136" i="3"/>
  <c r="X136" i="3"/>
  <c r="N136" i="3"/>
  <c r="L136" i="3"/>
  <c r="B136" i="3"/>
  <c r="Z135" i="3"/>
  <c r="X135" i="3"/>
  <c r="N135" i="3"/>
  <c r="L135" i="3"/>
  <c r="B135" i="3"/>
  <c r="X134" i="3"/>
  <c r="Z134" i="3" s="1"/>
  <c r="L134" i="3"/>
  <c r="N134" i="3" s="1"/>
  <c r="B134" i="3"/>
  <c r="Z133" i="3"/>
  <c r="X133" i="3"/>
  <c r="N133" i="3"/>
  <c r="L133" i="3"/>
  <c r="B133" i="3"/>
  <c r="T132" i="3"/>
  <c r="P132" i="3"/>
  <c r="X132" i="3" s="1"/>
  <c r="Z132" i="3" s="1"/>
  <c r="L132" i="3"/>
  <c r="N132" i="3" s="1"/>
  <c r="H132" i="3"/>
  <c r="D132" i="3"/>
  <c r="B132" i="3"/>
  <c r="X131" i="3"/>
  <c r="Z131" i="3" s="1"/>
  <c r="N131" i="3"/>
  <c r="L131" i="3"/>
  <c r="B131" i="3"/>
  <c r="Z130" i="3"/>
  <c r="X130" i="3"/>
  <c r="N130" i="3"/>
  <c r="L130" i="3"/>
  <c r="B130" i="3"/>
  <c r="Z129" i="3"/>
  <c r="X129" i="3"/>
  <c r="N129" i="3"/>
  <c r="L129" i="3"/>
  <c r="B129" i="3"/>
  <c r="Z128" i="3"/>
  <c r="X128" i="3"/>
  <c r="N128" i="3"/>
  <c r="L128" i="3"/>
  <c r="B128" i="3"/>
  <c r="T127" i="3"/>
  <c r="P127" i="3"/>
  <c r="X127" i="3" s="1"/>
  <c r="N127" i="3"/>
  <c r="L127" i="3"/>
  <c r="H127" i="3"/>
  <c r="D127" i="3"/>
  <c r="B127" i="3"/>
  <c r="X126" i="3"/>
  <c r="Z126" i="3" s="1"/>
  <c r="L126" i="3"/>
  <c r="N126" i="3" s="1"/>
  <c r="B126" i="3"/>
  <c r="Z125" i="3"/>
  <c r="X125" i="3"/>
  <c r="L125" i="3"/>
  <c r="N125" i="3" s="1"/>
  <c r="B125" i="3"/>
  <c r="Z124" i="3"/>
  <c r="X124" i="3"/>
  <c r="N124" i="3"/>
  <c r="L124" i="3"/>
  <c r="B124" i="3"/>
  <c r="Z123" i="3"/>
  <c r="X123" i="3"/>
  <c r="L123" i="3"/>
  <c r="N123" i="3" s="1"/>
  <c r="B123" i="3"/>
  <c r="T122" i="3"/>
  <c r="P122" i="3"/>
  <c r="X122" i="3" s="1"/>
  <c r="H122" i="3"/>
  <c r="D122" i="3"/>
  <c r="L122" i="3" s="1"/>
  <c r="N122" i="3" s="1"/>
  <c r="B122" i="3"/>
  <c r="Z121" i="3"/>
  <c r="X121" i="3"/>
  <c r="N121" i="3"/>
  <c r="L121" i="3"/>
  <c r="B121" i="3"/>
  <c r="T120" i="3"/>
  <c r="P120" i="3"/>
  <c r="X120" i="3" s="1"/>
  <c r="Z120" i="3" s="1"/>
  <c r="L120" i="3"/>
  <c r="N120" i="3" s="1"/>
  <c r="H120" i="3"/>
  <c r="D120" i="3"/>
  <c r="B120" i="3"/>
  <c r="X119" i="3"/>
  <c r="Z119" i="3" s="1"/>
  <c r="N119" i="3"/>
  <c r="L119" i="3"/>
  <c r="B119" i="3"/>
  <c r="X118" i="3"/>
  <c r="Z118" i="3" s="1"/>
  <c r="T118" i="3"/>
  <c r="P118" i="3"/>
  <c r="H118" i="3"/>
  <c r="N118" i="3" s="1"/>
  <c r="D118" i="3"/>
  <c r="L118" i="3" s="1"/>
  <c r="B118" i="3"/>
  <c r="Z117" i="3"/>
  <c r="X117" i="3"/>
  <c r="N117" i="3"/>
  <c r="L117" i="3"/>
  <c r="B117" i="3"/>
  <c r="T116" i="3"/>
  <c r="Z116" i="3" s="1"/>
  <c r="P116" i="3"/>
  <c r="X116" i="3" s="1"/>
  <c r="H116" i="3"/>
  <c r="N116" i="3" s="1"/>
  <c r="D116" i="3"/>
  <c r="L116" i="3" s="1"/>
  <c r="B116" i="3"/>
  <c r="Z115" i="3"/>
  <c r="X115" i="3"/>
  <c r="N115" i="3"/>
  <c r="L115" i="3"/>
  <c r="B115" i="3"/>
  <c r="T114" i="3"/>
  <c r="P114" i="3"/>
  <c r="X114" i="3" s="1"/>
  <c r="H114" i="3"/>
  <c r="D114" i="3"/>
  <c r="L114" i="3" s="1"/>
  <c r="N114" i="3" s="1"/>
  <c r="B114" i="3"/>
  <c r="Z113" i="3"/>
  <c r="X113" i="3"/>
  <c r="N113" i="3"/>
  <c r="L113" i="3"/>
  <c r="B113" i="3"/>
  <c r="T112" i="3"/>
  <c r="P112" i="3"/>
  <c r="X112" i="3" s="1"/>
  <c r="Z112" i="3" s="1"/>
  <c r="L112" i="3"/>
  <c r="N112" i="3" s="1"/>
  <c r="H112" i="3"/>
  <c r="D112" i="3"/>
  <c r="B112" i="3"/>
  <c r="Z111" i="3"/>
  <c r="X111" i="3"/>
  <c r="N111" i="3"/>
  <c r="L111" i="3"/>
  <c r="B111" i="3"/>
  <c r="X110" i="3"/>
  <c r="Z110" i="3" s="1"/>
  <c r="T110" i="3"/>
  <c r="P110" i="3"/>
  <c r="H110" i="3"/>
  <c r="D110" i="3"/>
  <c r="B110" i="3"/>
  <c r="Z109" i="3"/>
  <c r="X109" i="3"/>
  <c r="N109" i="3"/>
  <c r="L109" i="3"/>
  <c r="B109" i="3"/>
  <c r="X108" i="3"/>
  <c r="Z108" i="3" s="1"/>
  <c r="N108" i="3"/>
  <c r="L108" i="3"/>
  <c r="B108" i="3"/>
  <c r="T107" i="3"/>
  <c r="P107" i="3"/>
  <c r="H107" i="3"/>
  <c r="D107" i="3"/>
  <c r="L107" i="3" s="1"/>
  <c r="N107" i="3" s="1"/>
  <c r="B107" i="3"/>
  <c r="X106" i="3"/>
  <c r="Z106" i="3" s="1"/>
  <c r="L106" i="3"/>
  <c r="N106" i="3" s="1"/>
  <c r="B106" i="3"/>
  <c r="Z105" i="3"/>
  <c r="X105" i="3"/>
  <c r="N105" i="3"/>
  <c r="L105" i="3"/>
  <c r="B105" i="3"/>
  <c r="T104" i="3"/>
  <c r="Z104" i="3" s="1"/>
  <c r="P104" i="3"/>
  <c r="X104" i="3" s="1"/>
  <c r="H104" i="3"/>
  <c r="N104" i="3" s="1"/>
  <c r="D104" i="3"/>
  <c r="L104" i="3" s="1"/>
  <c r="B104" i="3"/>
  <c r="Z103" i="3"/>
  <c r="X103" i="3"/>
  <c r="N103" i="3"/>
  <c r="L103" i="3"/>
  <c r="B103" i="3"/>
  <c r="T102" i="3"/>
  <c r="Z102" i="3" s="1"/>
  <c r="P102" i="3"/>
  <c r="X102" i="3" s="1"/>
  <c r="L102" i="3"/>
  <c r="H102" i="3"/>
  <c r="N102" i="3" s="1"/>
  <c r="D102" i="3"/>
  <c r="B102" i="3"/>
  <c r="Z101" i="3"/>
  <c r="X101" i="3"/>
  <c r="N101" i="3"/>
  <c r="L101" i="3"/>
  <c r="B101" i="3"/>
  <c r="X100" i="3"/>
  <c r="T100" i="3"/>
  <c r="Z100" i="3" s="1"/>
  <c r="P100" i="3"/>
  <c r="L100" i="3"/>
  <c r="H100" i="3"/>
  <c r="N100" i="3" s="1"/>
  <c r="D100" i="3"/>
  <c r="B100" i="3"/>
  <c r="Z99" i="3"/>
  <c r="X99" i="3"/>
  <c r="N99" i="3"/>
  <c r="L99" i="3"/>
  <c r="B99" i="3"/>
  <c r="X98" i="3"/>
  <c r="T98" i="3"/>
  <c r="Z98" i="3" s="1"/>
  <c r="P98" i="3"/>
  <c r="H98" i="3"/>
  <c r="N98" i="3" s="1"/>
  <c r="D98" i="3"/>
  <c r="L98" i="3" s="1"/>
  <c r="B98" i="3"/>
  <c r="Z97" i="3"/>
  <c r="X97" i="3"/>
  <c r="N97" i="3"/>
  <c r="L97" i="3"/>
  <c r="B97" i="3"/>
  <c r="Z96" i="3"/>
  <c r="X96" i="3"/>
  <c r="N96" i="3"/>
  <c r="L96" i="3"/>
  <c r="B96" i="3"/>
  <c r="T95" i="3"/>
  <c r="Z95" i="3" s="1"/>
  <c r="P95" i="3"/>
  <c r="N95" i="3"/>
  <c r="H95" i="3"/>
  <c r="D95" i="3"/>
  <c r="L95" i="3" s="1"/>
  <c r="B95" i="3"/>
  <c r="X94" i="3"/>
  <c r="Z94" i="3" s="1"/>
  <c r="L94" i="3"/>
  <c r="N94" i="3" s="1"/>
  <c r="B94" i="3"/>
  <c r="Z93" i="3"/>
  <c r="X93" i="3"/>
  <c r="N93" i="3"/>
  <c r="L93" i="3"/>
  <c r="B93" i="3"/>
  <c r="T92" i="3"/>
  <c r="P92" i="3"/>
  <c r="X92" i="3" s="1"/>
  <c r="H92" i="3"/>
  <c r="D92" i="3"/>
  <c r="L92" i="3" s="1"/>
  <c r="B92" i="3"/>
  <c r="Z91" i="3"/>
  <c r="X91" i="3"/>
  <c r="N91" i="3"/>
  <c r="L91" i="3"/>
  <c r="B91" i="3"/>
  <c r="T90" i="3"/>
  <c r="P90" i="3"/>
  <c r="X90" i="3" s="1"/>
  <c r="H90" i="3"/>
  <c r="D90" i="3"/>
  <c r="B90" i="3"/>
  <c r="Z89" i="3"/>
  <c r="X89" i="3"/>
  <c r="N89" i="3"/>
  <c r="L89" i="3"/>
  <c r="B89" i="3"/>
  <c r="T88" i="3"/>
  <c r="P88" i="3"/>
  <c r="L88" i="3"/>
  <c r="H88" i="3"/>
  <c r="N88" i="3" s="1"/>
  <c r="D88" i="3"/>
  <c r="B88" i="3"/>
  <c r="Z87" i="3"/>
  <c r="X87" i="3"/>
  <c r="N87" i="3"/>
  <c r="L87" i="3"/>
  <c r="B87" i="3"/>
  <c r="X86" i="3"/>
  <c r="T86" i="3"/>
  <c r="Z86" i="3" s="1"/>
  <c r="P86" i="3"/>
  <c r="H86" i="3"/>
  <c r="D86" i="3"/>
  <c r="L86" i="3" s="1"/>
  <c r="B86" i="3"/>
  <c r="Z85" i="3"/>
  <c r="X85" i="3"/>
  <c r="N85" i="3"/>
  <c r="L85" i="3"/>
  <c r="B85" i="3"/>
  <c r="Z84" i="3"/>
  <c r="X84" i="3"/>
  <c r="N84" i="3"/>
  <c r="L84" i="3"/>
  <c r="B84" i="3"/>
  <c r="Z83" i="3"/>
  <c r="X83" i="3"/>
  <c r="N83" i="3"/>
  <c r="L83" i="3"/>
  <c r="B83" i="3"/>
  <c r="X82" i="3"/>
  <c r="Z82" i="3" s="1"/>
  <c r="L82" i="3"/>
  <c r="N82" i="3" s="1"/>
  <c r="B82" i="3"/>
  <c r="Z81" i="3"/>
  <c r="X81" i="3"/>
  <c r="N81" i="3"/>
  <c r="L81" i="3"/>
  <c r="B81" i="3"/>
  <c r="X80" i="3"/>
  <c r="Z80" i="3" s="1"/>
  <c r="N80" i="3"/>
  <c r="L80" i="3"/>
  <c r="B80" i="3"/>
  <c r="Z79" i="3"/>
  <c r="X79" i="3"/>
  <c r="N79" i="3"/>
  <c r="L79" i="3"/>
  <c r="B79" i="3"/>
  <c r="Z78" i="3"/>
  <c r="X78" i="3"/>
  <c r="N78" i="3"/>
  <c r="L78" i="3"/>
  <c r="B78" i="3"/>
  <c r="Z77" i="3"/>
  <c r="X77" i="3"/>
  <c r="N77" i="3"/>
  <c r="L77" i="3"/>
  <c r="B77" i="3"/>
  <c r="X76" i="3"/>
  <c r="Z76" i="3" s="1"/>
  <c r="L76" i="3"/>
  <c r="N76" i="3" s="1"/>
  <c r="B76" i="3"/>
  <c r="T75" i="3"/>
  <c r="P75" i="3"/>
  <c r="X75" i="3" s="1"/>
  <c r="H75" i="3"/>
  <c r="D75" i="3"/>
  <c r="L75" i="3" s="1"/>
  <c r="N75" i="3" s="1"/>
  <c r="B75" i="3"/>
  <c r="X74" i="3"/>
  <c r="Z74" i="3" s="1"/>
  <c r="L74" i="3"/>
  <c r="N74" i="3" s="1"/>
  <c r="B74" i="3"/>
  <c r="Z73" i="3"/>
  <c r="X73" i="3"/>
  <c r="N73" i="3"/>
  <c r="L73" i="3"/>
  <c r="B73" i="3"/>
  <c r="Z72" i="3"/>
  <c r="X72" i="3"/>
  <c r="L72" i="3"/>
  <c r="N72" i="3" s="1"/>
  <c r="B72" i="3"/>
  <c r="Z71" i="3"/>
  <c r="X71" i="3"/>
  <c r="N71" i="3"/>
  <c r="L71" i="3"/>
  <c r="B71" i="3"/>
  <c r="Z70" i="3"/>
  <c r="X70" i="3"/>
  <c r="N70" i="3"/>
  <c r="L70" i="3"/>
  <c r="B70" i="3"/>
  <c r="Z69" i="3"/>
  <c r="X69" i="3"/>
  <c r="N69" i="3"/>
  <c r="L69" i="3"/>
  <c r="B69" i="3"/>
  <c r="X68" i="3"/>
  <c r="Z68" i="3" s="1"/>
  <c r="N68" i="3"/>
  <c r="L68" i="3"/>
  <c r="B68" i="3"/>
  <c r="Z67" i="3"/>
  <c r="X67" i="3"/>
  <c r="N67" i="3"/>
  <c r="L67" i="3"/>
  <c r="B67" i="3"/>
  <c r="X66" i="3"/>
  <c r="Z66" i="3" s="1"/>
  <c r="L66" i="3"/>
  <c r="N66" i="3" s="1"/>
  <c r="B66" i="3"/>
  <c r="Z65" i="3"/>
  <c r="X65" i="3"/>
  <c r="N65" i="3"/>
  <c r="L65" i="3"/>
  <c r="B65" i="3"/>
  <c r="T64" i="3"/>
  <c r="Z64" i="3" s="1"/>
  <c r="P64" i="3"/>
  <c r="X64" i="3" s="1"/>
  <c r="H64" i="3"/>
  <c r="N64" i="3" s="1"/>
  <c r="D64" i="3"/>
  <c r="L64" i="3" s="1"/>
  <c r="B64" i="3"/>
  <c r="T63" i="3"/>
  <c r="P63" i="3"/>
  <c r="X63" i="3" s="1"/>
  <c r="H63" i="3"/>
  <c r="D63" i="3"/>
  <c r="L63" i="3" s="1"/>
  <c r="N63" i="3" s="1"/>
  <c r="Z59" i="3"/>
  <c r="X59" i="3"/>
  <c r="N59" i="3"/>
  <c r="L59" i="3"/>
  <c r="B59" i="3"/>
  <c r="Z58" i="3"/>
  <c r="X58" i="3"/>
  <c r="N58" i="3"/>
  <c r="L58" i="3"/>
  <c r="B58" i="3"/>
  <c r="Z57" i="3"/>
  <c r="X57" i="3"/>
  <c r="N57" i="3"/>
  <c r="L57" i="3"/>
  <c r="B57" i="3"/>
  <c r="Z56" i="3"/>
  <c r="X56" i="3"/>
  <c r="N56" i="3"/>
  <c r="L56" i="3"/>
  <c r="B56" i="3"/>
  <c r="Z55" i="3"/>
  <c r="X55" i="3"/>
  <c r="N55" i="3"/>
  <c r="L55" i="3"/>
  <c r="B55" i="3"/>
  <c r="Z54" i="3"/>
  <c r="X54" i="3"/>
  <c r="N54" i="3"/>
  <c r="L54" i="3"/>
  <c r="B54" i="3"/>
  <c r="Z53" i="3"/>
  <c r="X53" i="3"/>
  <c r="N53" i="3"/>
  <c r="L53" i="3"/>
  <c r="B53" i="3"/>
  <c r="Z52" i="3"/>
  <c r="X52" i="3"/>
  <c r="N52" i="3"/>
  <c r="L52" i="3"/>
  <c r="B52" i="3"/>
  <c r="Z51" i="3"/>
  <c r="X51" i="3"/>
  <c r="N51" i="3"/>
  <c r="L51" i="3"/>
  <c r="B51" i="3"/>
  <c r="Z50" i="3"/>
  <c r="X50" i="3"/>
  <c r="N50" i="3"/>
  <c r="L50" i="3"/>
  <c r="B50" i="3"/>
  <c r="Z49" i="3"/>
  <c r="X49" i="3"/>
  <c r="N49" i="3"/>
  <c r="L49" i="3"/>
  <c r="B49" i="3"/>
  <c r="Z48" i="3"/>
  <c r="X48" i="3"/>
  <c r="N48" i="3"/>
  <c r="L48" i="3"/>
  <c r="B48" i="3"/>
  <c r="Z47" i="3"/>
  <c r="X47" i="3"/>
  <c r="N47" i="3"/>
  <c r="L47" i="3"/>
  <c r="B47" i="3"/>
  <c r="Z46" i="3"/>
  <c r="X46" i="3"/>
  <c r="N46" i="3"/>
  <c r="L46" i="3"/>
  <c r="B46" i="3"/>
  <c r="Z45" i="3"/>
  <c r="X45" i="3"/>
  <c r="N45" i="3"/>
  <c r="L45" i="3"/>
  <c r="B45" i="3"/>
  <c r="Z44" i="3"/>
  <c r="X44" i="3"/>
  <c r="N44" i="3"/>
  <c r="L44" i="3"/>
  <c r="B44" i="3"/>
  <c r="Z43" i="3"/>
  <c r="X43" i="3"/>
  <c r="N43" i="3"/>
  <c r="L43" i="3"/>
  <c r="B43" i="3"/>
  <c r="Z42" i="3"/>
  <c r="X42" i="3"/>
  <c r="N42" i="3"/>
  <c r="L42" i="3"/>
  <c r="B42" i="3"/>
  <c r="Z41" i="3"/>
  <c r="X41" i="3"/>
  <c r="N41" i="3"/>
  <c r="L41" i="3"/>
  <c r="B41" i="3"/>
  <c r="Z40" i="3"/>
  <c r="X40" i="3"/>
  <c r="N40" i="3"/>
  <c r="L40" i="3"/>
  <c r="B40" i="3"/>
  <c r="Z39" i="3"/>
  <c r="X39" i="3"/>
  <c r="N39" i="3"/>
  <c r="L39" i="3"/>
  <c r="B39" i="3"/>
  <c r="Z38" i="3"/>
  <c r="X38" i="3"/>
  <c r="N38" i="3"/>
  <c r="L38" i="3"/>
  <c r="B38" i="3"/>
  <c r="Z37" i="3"/>
  <c r="X37" i="3"/>
  <c r="N37" i="3"/>
  <c r="L37" i="3"/>
  <c r="B37" i="3"/>
  <c r="Z36" i="3"/>
  <c r="X36" i="3"/>
  <c r="N36" i="3"/>
  <c r="L36" i="3"/>
  <c r="B36" i="3"/>
  <c r="Z35" i="3"/>
  <c r="X35" i="3"/>
  <c r="N35" i="3"/>
  <c r="L35" i="3"/>
  <c r="B35" i="3"/>
  <c r="Z34" i="3"/>
  <c r="X34" i="3"/>
  <c r="N34" i="3"/>
  <c r="L34" i="3"/>
  <c r="B34" i="3"/>
  <c r="Z33" i="3"/>
  <c r="X33" i="3"/>
  <c r="N33" i="3"/>
  <c r="L33" i="3"/>
  <c r="B33" i="3"/>
  <c r="Z32" i="3"/>
  <c r="X32" i="3"/>
  <c r="N32" i="3"/>
  <c r="L32" i="3"/>
  <c r="B32" i="3"/>
  <c r="Z31" i="3"/>
  <c r="X31" i="3"/>
  <c r="N31" i="3"/>
  <c r="L31" i="3"/>
  <c r="B31" i="3"/>
  <c r="Z30" i="3"/>
  <c r="X30" i="3"/>
  <c r="N30" i="3"/>
  <c r="L30" i="3"/>
  <c r="B30" i="3"/>
  <c r="Z29" i="3"/>
  <c r="X29" i="3"/>
  <c r="N29" i="3"/>
  <c r="L29" i="3"/>
  <c r="B29" i="3"/>
  <c r="Z28" i="3"/>
  <c r="X28" i="3"/>
  <c r="N28" i="3"/>
  <c r="L28" i="3"/>
  <c r="B28" i="3"/>
  <c r="Z27" i="3"/>
  <c r="X27" i="3"/>
  <c r="N27" i="3"/>
  <c r="L27" i="3"/>
  <c r="B27" i="3"/>
  <c r="Z26" i="3"/>
  <c r="X26" i="3"/>
  <c r="V26" i="3"/>
  <c r="N26" i="3"/>
  <c r="L26" i="3"/>
  <c r="B26" i="3"/>
  <c r="X25" i="3"/>
  <c r="Z25" i="3" s="1"/>
  <c r="N25" i="3"/>
  <c r="L25" i="3"/>
  <c r="B25" i="3"/>
  <c r="T24" i="3"/>
  <c r="P24" i="3"/>
  <c r="X24" i="3" s="1"/>
  <c r="Z24" i="3" s="1"/>
  <c r="H24" i="3"/>
  <c r="D24" i="3"/>
  <c r="L24" i="3" s="1"/>
  <c r="N24" i="3" s="1"/>
  <c r="Z22" i="3"/>
  <c r="P22" i="3"/>
  <c r="X22" i="3" s="1"/>
  <c r="N22" i="3"/>
  <c r="L22" i="3"/>
  <c r="D22" i="3"/>
  <c r="B22" i="3"/>
  <c r="Z21" i="3"/>
  <c r="X21" i="3"/>
  <c r="P21" i="3"/>
  <c r="N21" i="3"/>
  <c r="D21" i="3"/>
  <c r="L21" i="3" s="1"/>
  <c r="B21" i="3"/>
  <c r="Z20" i="3"/>
  <c r="X20" i="3"/>
  <c r="P20" i="3"/>
  <c r="N20" i="3"/>
  <c r="L20" i="3"/>
  <c r="D20" i="3"/>
  <c r="B20" i="3"/>
  <c r="Z19" i="3"/>
  <c r="P19" i="3"/>
  <c r="X19" i="3" s="1"/>
  <c r="N19" i="3"/>
  <c r="D19" i="3"/>
  <c r="L19" i="3" s="1"/>
  <c r="B19" i="3"/>
  <c r="Z18" i="3"/>
  <c r="P18" i="3"/>
  <c r="X18" i="3" s="1"/>
  <c r="N18" i="3"/>
  <c r="L18" i="3"/>
  <c r="D18" i="3"/>
  <c r="B18" i="3"/>
  <c r="Z17" i="3"/>
  <c r="X17" i="3"/>
  <c r="P17" i="3"/>
  <c r="N17" i="3"/>
  <c r="L17" i="3"/>
  <c r="D17" i="3"/>
  <c r="B17" i="3"/>
  <c r="P16" i="3"/>
  <c r="X16" i="3" s="1"/>
  <c r="Z16" i="3" s="1"/>
  <c r="D16" i="3"/>
  <c r="L16" i="3" s="1"/>
  <c r="N16" i="3" s="1"/>
  <c r="B16" i="3"/>
  <c r="Z15" i="3"/>
  <c r="X15" i="3"/>
  <c r="P15" i="3"/>
  <c r="N15" i="3"/>
  <c r="D15" i="3"/>
  <c r="L15" i="3" s="1"/>
  <c r="B15" i="3"/>
  <c r="Z14" i="3"/>
  <c r="P14" i="3"/>
  <c r="X14" i="3" s="1"/>
  <c r="N14" i="3"/>
  <c r="L14" i="3"/>
  <c r="D14" i="3"/>
  <c r="B14" i="3"/>
  <c r="Z13" i="3"/>
  <c r="X13" i="3"/>
  <c r="P13" i="3"/>
  <c r="D13" i="3"/>
  <c r="L13" i="3" s="1"/>
  <c r="N13" i="3" s="1"/>
  <c r="B13" i="3"/>
  <c r="T12" i="3"/>
  <c r="V166" i="3" s="1"/>
  <c r="H12" i="3"/>
  <c r="D4" i="3"/>
  <c r="L15" i="25" l="1"/>
  <c r="L24" i="26"/>
  <c r="X13" i="29"/>
  <c r="L21" i="29"/>
  <c r="X25" i="29"/>
  <c r="L34" i="34"/>
  <c r="X16" i="35"/>
  <c r="L24" i="35"/>
  <c r="X16" i="37"/>
  <c r="L21" i="52"/>
  <c r="X25" i="52"/>
  <c r="X33" i="52"/>
  <c r="X22" i="53"/>
  <c r="X33" i="23"/>
  <c r="L34" i="32"/>
  <c r="X25" i="35"/>
  <c r="X33" i="35"/>
  <c r="X22" i="38"/>
  <c r="L24" i="40"/>
  <c r="L22" i="43"/>
  <c r="L22" i="46"/>
  <c r="X29" i="47"/>
  <c r="X34" i="47"/>
  <c r="L20" i="53"/>
  <c r="L24" i="71"/>
  <c r="X13" i="47"/>
  <c r="X13" i="41"/>
  <c r="L22" i="13"/>
  <c r="X22" i="17"/>
  <c r="X16" i="23"/>
  <c r="L24" i="23"/>
  <c r="L22" i="10"/>
  <c r="L13" i="20"/>
  <c r="X13" i="4"/>
  <c r="L21" i="4"/>
  <c r="X22" i="5"/>
  <c r="L16" i="10"/>
  <c r="X22" i="10"/>
  <c r="L33" i="11"/>
  <c r="X22" i="14"/>
  <c r="X24" i="16"/>
  <c r="L24" i="19"/>
  <c r="X13" i="20"/>
  <c r="L21" i="20"/>
  <c r="X25" i="20"/>
  <c r="X33" i="20"/>
  <c r="L22" i="22"/>
  <c r="X29" i="23"/>
  <c r="L21" i="41"/>
  <c r="X22" i="4"/>
  <c r="X29" i="52"/>
  <c r="X24" i="4"/>
  <c r="L34" i="5"/>
  <c r="X13" i="7"/>
  <c r="X16" i="10"/>
  <c r="L24" i="10"/>
  <c r="L25" i="25"/>
  <c r="L33" i="25"/>
  <c r="X20" i="26"/>
  <c r="L22" i="26"/>
  <c r="L33" i="34"/>
  <c r="L22" i="35"/>
  <c r="X15" i="38"/>
  <c r="X29" i="38"/>
  <c r="X34" i="38"/>
  <c r="L13" i="40"/>
  <c r="L34" i="43"/>
  <c r="L24" i="44"/>
  <c r="L29" i="46"/>
  <c r="L34" i="46"/>
  <c r="L24" i="47"/>
  <c r="X15" i="49"/>
  <c r="X29" i="49"/>
  <c r="L20" i="50"/>
  <c r="X16" i="52"/>
  <c r="L25" i="71"/>
  <c r="L33" i="71"/>
  <c r="X24" i="49"/>
  <c r="L22" i="4"/>
  <c r="X15" i="5"/>
  <c r="X34" i="5"/>
  <c r="L13" i="29"/>
  <c r="X21" i="31"/>
  <c r="L29" i="31"/>
  <c r="L34" i="31"/>
  <c r="L24" i="32"/>
  <c r="X16" i="92"/>
  <c r="L22" i="94"/>
  <c r="X33" i="29"/>
  <c r="L29" i="8"/>
  <c r="L16" i="4"/>
  <c r="X29" i="7"/>
  <c r="L16" i="13"/>
  <c r="L15" i="16"/>
  <c r="X34" i="22"/>
  <c r="L34" i="23"/>
  <c r="X21" i="26"/>
  <c r="L34" i="26"/>
  <c r="X34" i="32"/>
  <c r="L24" i="38"/>
  <c r="X24" i="40"/>
  <c r="X20" i="53"/>
  <c r="X33" i="94"/>
  <c r="L16" i="92"/>
  <c r="X21" i="34"/>
  <c r="X13" i="19"/>
  <c r="X12" i="23"/>
  <c r="L15" i="28"/>
  <c r="L15" i="41"/>
  <c r="L21" i="7"/>
  <c r="L33" i="92"/>
  <c r="X15" i="93"/>
  <c r="X34" i="93"/>
  <c r="X16" i="7"/>
  <c r="L29" i="7"/>
  <c r="L25" i="16"/>
  <c r="X13" i="22"/>
  <c r="X33" i="32"/>
  <c r="L33" i="37"/>
  <c r="L22" i="38"/>
  <c r="X22" i="40"/>
  <c r="X21" i="44"/>
  <c r="L34" i="47"/>
  <c r="X29" i="19"/>
  <c r="X25" i="53"/>
  <c r="X21" i="11"/>
  <c r="X34" i="13"/>
  <c r="L16" i="16"/>
  <c r="X20" i="7"/>
  <c r="L22" i="7"/>
  <c r="X29" i="14"/>
  <c r="X16" i="25"/>
  <c r="X25" i="28"/>
  <c r="X33" i="28"/>
  <c r="L21" i="35"/>
  <c r="X21" i="28"/>
  <c r="L24" i="93"/>
  <c r="X25" i="7"/>
  <c r="X29" i="4"/>
  <c r="X24" i="5"/>
  <c r="L16" i="8"/>
  <c r="X13" i="14"/>
  <c r="L21" i="14"/>
  <c r="X33" i="14"/>
  <c r="X24" i="17"/>
  <c r="L15" i="19"/>
  <c r="X16" i="20"/>
  <c r="L24" i="20"/>
  <c r="L33" i="22"/>
  <c r="X29" i="28"/>
  <c r="L20" i="29"/>
  <c r="L13" i="32"/>
  <c r="P18" i="38"/>
  <c r="P27" i="38" s="1"/>
  <c r="X20" i="40"/>
  <c r="X34" i="41"/>
  <c r="X33" i="43"/>
  <c r="L16" i="44"/>
  <c r="X22" i="47"/>
  <c r="X21" i="49"/>
  <c r="L34" i="49"/>
  <c r="X16" i="50"/>
  <c r="L24" i="50"/>
  <c r="L25" i="4"/>
  <c r="L33" i="4"/>
  <c r="L22" i="5"/>
  <c r="X12" i="7"/>
  <c r="X16" i="8"/>
  <c r="X34" i="17"/>
  <c r="X21" i="20"/>
  <c r="X29" i="26"/>
  <c r="X34" i="26"/>
  <c r="L15" i="29"/>
  <c r="X21" i="29"/>
  <c r="L29" i="29"/>
  <c r="L34" i="29"/>
  <c r="L13" i="31"/>
  <c r="L25" i="31"/>
  <c r="X20" i="32"/>
  <c r="L22" i="32"/>
  <c r="X15" i="34"/>
  <c r="X24" i="37"/>
  <c r="L34" i="38"/>
  <c r="X15" i="40"/>
  <c r="X34" i="40"/>
  <c r="P18" i="41"/>
  <c r="P27" i="41" s="1"/>
  <c r="L13" i="43"/>
  <c r="X20" i="44"/>
  <c r="L13" i="46"/>
  <c r="X20" i="47"/>
  <c r="L34" i="71"/>
  <c r="X25" i="93"/>
  <c r="X33" i="93"/>
  <c r="X24" i="38"/>
  <c r="L15" i="94"/>
  <c r="L29" i="25"/>
  <c r="X34" i="4"/>
  <c r="L20" i="32"/>
  <c r="L34" i="7"/>
  <c r="X21" i="13"/>
  <c r="X21" i="92"/>
  <c r="X21" i="16"/>
  <c r="L29" i="16"/>
  <c r="L21" i="19"/>
  <c r="Z12" i="53"/>
  <c r="L29" i="17"/>
  <c r="L16" i="52"/>
  <c r="X22" i="52"/>
  <c r="X20" i="25"/>
  <c r="L29" i="44"/>
  <c r="X21" i="94"/>
  <c r="L15" i="4"/>
  <c r="L29" i="4"/>
  <c r="L34" i="4"/>
  <c r="X34" i="8"/>
  <c r="L13" i="10"/>
  <c r="X20" i="11"/>
  <c r="L22" i="11"/>
  <c r="X34" i="11"/>
  <c r="L25" i="13"/>
  <c r="L22" i="14"/>
  <c r="L13" i="17"/>
  <c r="X20" i="19"/>
  <c r="L13" i="26"/>
  <c r="X34" i="35"/>
  <c r="L29" i="37"/>
  <c r="L34" i="37"/>
  <c r="X13" i="38"/>
  <c r="X16" i="41"/>
  <c r="L24" i="41"/>
  <c r="L20" i="44"/>
  <c r="X24" i="44"/>
  <c r="X29" i="46"/>
  <c r="X34" i="46"/>
  <c r="X24" i="47"/>
  <c r="L25" i="49"/>
  <c r="X20" i="50"/>
  <c r="L22" i="50"/>
  <c r="L24" i="53"/>
  <c r="X13" i="5"/>
  <c r="X24" i="11"/>
  <c r="L20" i="13"/>
  <c r="L29" i="13"/>
  <c r="L34" i="13"/>
  <c r="X16" i="14"/>
  <c r="L24" i="14"/>
  <c r="X15" i="16"/>
  <c r="X25" i="17"/>
  <c r="X33" i="17"/>
  <c r="L25" i="19"/>
  <c r="L33" i="19"/>
  <c r="X16" i="22"/>
  <c r="L25" i="28"/>
  <c r="L33" i="28"/>
  <c r="L22" i="29"/>
  <c r="X13" i="31"/>
  <c r="L15" i="37"/>
  <c r="L33" i="38"/>
  <c r="X13" i="40"/>
  <c r="L21" i="40"/>
  <c r="X25" i="40"/>
  <c r="X16" i="43"/>
  <c r="X13" i="44"/>
  <c r="X33" i="44"/>
  <c r="L24" i="46"/>
  <c r="X33" i="46"/>
  <c r="X13" i="50"/>
  <c r="L21" i="50"/>
  <c r="X33" i="50"/>
  <c r="L13" i="52"/>
  <c r="X15" i="53"/>
  <c r="X34" i="53"/>
  <c r="X16" i="94"/>
  <c r="X20" i="14"/>
  <c r="X15" i="26"/>
  <c r="X15" i="28"/>
  <c r="L29" i="28"/>
  <c r="X16" i="47"/>
  <c r="X34" i="49"/>
  <c r="X15" i="19"/>
  <c r="L20" i="34"/>
  <c r="L25" i="50"/>
  <c r="L29" i="53"/>
  <c r="X15" i="4"/>
  <c r="X21" i="5"/>
  <c r="L16" i="7"/>
  <c r="L25" i="7"/>
  <c r="X34" i="7"/>
  <c r="L34" i="8"/>
  <c r="X15" i="10"/>
  <c r="X29" i="10"/>
  <c r="X34" i="10"/>
  <c r="L15" i="11"/>
  <c r="X16" i="11"/>
  <c r="X33" i="11"/>
  <c r="X13" i="13"/>
  <c r="L21" i="13"/>
  <c r="X22" i="13"/>
  <c r="X24" i="14"/>
  <c r="L25" i="17"/>
  <c r="L33" i="17"/>
  <c r="X21" i="19"/>
  <c r="L29" i="19"/>
  <c r="L25" i="20"/>
  <c r="L15" i="22"/>
  <c r="L13" i="23"/>
  <c r="X20" i="23"/>
  <c r="L22" i="23"/>
  <c r="X21" i="25"/>
  <c r="L24" i="25"/>
  <c r="X25" i="26"/>
  <c r="X33" i="26"/>
  <c r="L16" i="28"/>
  <c r="X15" i="29"/>
  <c r="L15" i="32"/>
  <c r="L29" i="32"/>
  <c r="L15" i="35"/>
  <c r="L29" i="35"/>
  <c r="X13" i="37"/>
  <c r="L16" i="37"/>
  <c r="X16" i="38"/>
  <c r="X25" i="38"/>
  <c r="X33" i="38"/>
  <c r="X21" i="40"/>
  <c r="L29" i="40"/>
  <c r="L25" i="41"/>
  <c r="L33" i="41"/>
  <c r="X34" i="44"/>
  <c r="X15" i="46"/>
  <c r="X24" i="46"/>
  <c r="L25" i="47"/>
  <c r="L16" i="50"/>
  <c r="X22" i="50"/>
  <c r="L34" i="52"/>
  <c r="X13" i="53"/>
  <c r="L16" i="53"/>
  <c r="L33" i="53"/>
  <c r="L29" i="71"/>
  <c r="L13" i="94"/>
  <c r="X16" i="13"/>
  <c r="X16" i="17"/>
  <c r="L34" i="22"/>
  <c r="L33" i="31"/>
  <c r="Z12" i="32"/>
  <c r="X15" i="32"/>
  <c r="L12" i="92"/>
  <c r="D18" i="92"/>
  <c r="L21" i="23"/>
  <c r="X24" i="26"/>
  <c r="X22" i="92"/>
  <c r="X16" i="93"/>
  <c r="L25" i="94"/>
  <c r="X33" i="10"/>
  <c r="X15" i="17"/>
  <c r="J31" i="19"/>
  <c r="L24" i="31"/>
  <c r="F31" i="32"/>
  <c r="L24" i="37"/>
  <c r="L13" i="38"/>
  <c r="X15" i="41"/>
  <c r="X21" i="47"/>
  <c r="R21" i="53"/>
  <c r="X29" i="93"/>
  <c r="X16" i="4"/>
  <c r="L24" i="4"/>
  <c r="X15" i="7"/>
  <c r="X13" i="8"/>
  <c r="X25" i="8"/>
  <c r="X24" i="20"/>
  <c r="X24" i="34"/>
  <c r="X13" i="35"/>
  <c r="R15" i="93"/>
  <c r="R18" i="94"/>
  <c r="L34" i="10"/>
  <c r="X16" i="19"/>
  <c r="Z12" i="23"/>
  <c r="X15" i="23"/>
  <c r="L24" i="29"/>
  <c r="L22" i="41"/>
  <c r="F18" i="44"/>
  <c r="F24" i="92"/>
  <c r="L34" i="16"/>
  <c r="L16" i="17"/>
  <c r="L24" i="22"/>
  <c r="X25" i="25"/>
  <c r="J34" i="34"/>
  <c r="X20" i="37"/>
  <c r="L22" i="37"/>
  <c r="Z12" i="44"/>
  <c r="F18" i="46"/>
  <c r="X13" i="49"/>
  <c r="L29" i="92"/>
  <c r="L20" i="93"/>
  <c r="R25" i="94"/>
  <c r="V20" i="4"/>
  <c r="L29" i="5"/>
  <c r="X12" i="13"/>
  <c r="N12" i="14"/>
  <c r="V34" i="16"/>
  <c r="X29" i="17"/>
  <c r="X25" i="32"/>
  <c r="L25" i="34"/>
  <c r="R15" i="37"/>
  <c r="V20" i="41"/>
  <c r="N12" i="47"/>
  <c r="J31" i="50"/>
  <c r="X12" i="71"/>
  <c r="X16" i="71"/>
  <c r="L21" i="71"/>
  <c r="X34" i="71"/>
  <c r="L15" i="92"/>
  <c r="X25" i="92"/>
  <c r="X13" i="93"/>
  <c r="R18" i="93"/>
  <c r="R22" i="93"/>
  <c r="X24" i="94"/>
  <c r="J27" i="14"/>
  <c r="L15" i="5"/>
  <c r="R16" i="5"/>
  <c r="L21" i="5"/>
  <c r="X20" i="10"/>
  <c r="Z12" i="13"/>
  <c r="L15" i="13"/>
  <c r="P18" i="19"/>
  <c r="P27" i="19" s="1"/>
  <c r="X12" i="20"/>
  <c r="L15" i="20"/>
  <c r="L22" i="20"/>
  <c r="X29" i="20"/>
  <c r="L21" i="22"/>
  <c r="X22" i="22"/>
  <c r="L25" i="22"/>
  <c r="X13" i="23"/>
  <c r="L16" i="25"/>
  <c r="X33" i="25"/>
  <c r="L15" i="31"/>
  <c r="T18" i="34"/>
  <c r="T27" i="34" s="1"/>
  <c r="T31" i="34" s="1"/>
  <c r="Z31" i="34" s="1"/>
  <c r="J24" i="38"/>
  <c r="Z12" i="41"/>
  <c r="R21" i="44"/>
  <c r="J36" i="46"/>
  <c r="L33" i="50"/>
  <c r="F27" i="53"/>
  <c r="Z25" i="92"/>
  <c r="J36" i="92"/>
  <c r="L12" i="93"/>
  <c r="L16" i="93"/>
  <c r="X21" i="93"/>
  <c r="X22" i="93"/>
  <c r="L21" i="94"/>
  <c r="Z24" i="94"/>
  <c r="J27" i="94"/>
  <c r="X20" i="8"/>
  <c r="L15" i="14"/>
  <c r="R24" i="26"/>
  <c r="X16" i="28"/>
  <c r="V27" i="32"/>
  <c r="J36" i="32"/>
  <c r="J33" i="34"/>
  <c r="X20" i="38"/>
  <c r="J15" i="41"/>
  <c r="F16" i="44"/>
  <c r="F16" i="53"/>
  <c r="L13" i="71"/>
  <c r="X21" i="71"/>
  <c r="V33" i="71"/>
  <c r="J33" i="92"/>
  <c r="V33" i="93"/>
  <c r="Z12" i="5"/>
  <c r="X22" i="7"/>
  <c r="X15" i="14"/>
  <c r="J18" i="17"/>
  <c r="X21" i="17"/>
  <c r="X22" i="20"/>
  <c r="L22" i="25"/>
  <c r="V15" i="32"/>
  <c r="L29" i="34"/>
  <c r="F22" i="40"/>
  <c r="R22" i="41"/>
  <c r="L15" i="44"/>
  <c r="R24" i="44"/>
  <c r="Z12" i="47"/>
  <c r="Z16" i="47"/>
  <c r="R22" i="47"/>
  <c r="V36" i="47"/>
  <c r="L33" i="49"/>
  <c r="X15" i="52"/>
  <c r="F18" i="52"/>
  <c r="F18" i="92"/>
  <c r="F21" i="92"/>
  <c r="N20" i="93"/>
  <c r="R22" i="94"/>
  <c r="L20" i="4"/>
  <c r="X33" i="4"/>
  <c r="X25" i="5"/>
  <c r="L33" i="5"/>
  <c r="V16" i="7"/>
  <c r="R22" i="7"/>
  <c r="L15" i="8"/>
  <c r="L33" i="8"/>
  <c r="X13" i="10"/>
  <c r="L21" i="10"/>
  <c r="J22" i="10"/>
  <c r="L21" i="11"/>
  <c r="X29" i="11"/>
  <c r="R15" i="13"/>
  <c r="X24" i="13"/>
  <c r="L13" i="14"/>
  <c r="X25" i="14"/>
  <c r="L34" i="14"/>
  <c r="L13" i="16"/>
  <c r="L22" i="16"/>
  <c r="X15" i="20"/>
  <c r="V16" i="20"/>
  <c r="L20" i="22"/>
  <c r="X21" i="22"/>
  <c r="X34" i="23"/>
  <c r="L21" i="25"/>
  <c r="X29" i="25"/>
  <c r="L34" i="25"/>
  <c r="X16" i="26"/>
  <c r="L21" i="26"/>
  <c r="L20" i="28"/>
  <c r="L24" i="28"/>
  <c r="L16" i="29"/>
  <c r="X29" i="29"/>
  <c r="X34" i="29"/>
  <c r="L13" i="34"/>
  <c r="X20" i="34"/>
  <c r="X20" i="35"/>
  <c r="L34" i="40"/>
  <c r="X21" i="41"/>
  <c r="X13" i="43"/>
  <c r="L21" i="43"/>
  <c r="X22" i="43"/>
  <c r="F15" i="44"/>
  <c r="L22" i="44"/>
  <c r="X29" i="44"/>
  <c r="L34" i="44"/>
  <c r="J22" i="46"/>
  <c r="R18" i="47"/>
  <c r="X25" i="47"/>
  <c r="X33" i="47"/>
  <c r="L21" i="49"/>
  <c r="X21" i="50"/>
  <c r="L29" i="50"/>
  <c r="L20" i="52"/>
  <c r="L24" i="52"/>
  <c r="X13" i="71"/>
  <c r="V29" i="71"/>
  <c r="J18" i="92"/>
  <c r="L25" i="92"/>
  <c r="Z12" i="93"/>
  <c r="X20" i="93"/>
  <c r="V29" i="93"/>
  <c r="X34" i="94"/>
  <c r="X22" i="11"/>
  <c r="X33" i="7"/>
  <c r="V16" i="8"/>
  <c r="X20" i="4"/>
  <c r="R20" i="5"/>
  <c r="X33" i="5"/>
  <c r="L13" i="7"/>
  <c r="X21" i="7"/>
  <c r="L24" i="7"/>
  <c r="R33" i="7"/>
  <c r="Z12" i="8"/>
  <c r="X21" i="8"/>
  <c r="L24" i="8"/>
  <c r="X33" i="8"/>
  <c r="J21" i="10"/>
  <c r="X25" i="10"/>
  <c r="R22" i="11"/>
  <c r="L25" i="11"/>
  <c r="V31" i="11"/>
  <c r="L34" i="11"/>
  <c r="X20" i="13"/>
  <c r="X29" i="13"/>
  <c r="L16" i="14"/>
  <c r="J31" i="14"/>
  <c r="X34" i="14"/>
  <c r="L21" i="16"/>
  <c r="X22" i="16"/>
  <c r="L22" i="17"/>
  <c r="L34" i="17"/>
  <c r="L22" i="19"/>
  <c r="X34" i="19"/>
  <c r="V15" i="20"/>
  <c r="L29" i="22"/>
  <c r="X25" i="23"/>
  <c r="L20" i="25"/>
  <c r="X34" i="25"/>
  <c r="L20" i="26"/>
  <c r="X20" i="28"/>
  <c r="X24" i="28"/>
  <c r="X22" i="29"/>
  <c r="L25" i="29"/>
  <c r="L33" i="29"/>
  <c r="J36" i="29"/>
  <c r="L16" i="31"/>
  <c r="X20" i="31"/>
  <c r="L22" i="31"/>
  <c r="X24" i="31"/>
  <c r="L21" i="32"/>
  <c r="X13" i="34"/>
  <c r="L25" i="35"/>
  <c r="L33" i="35"/>
  <c r="L21" i="37"/>
  <c r="X12" i="38"/>
  <c r="L21" i="38"/>
  <c r="X16" i="40"/>
  <c r="R29" i="40"/>
  <c r="X20" i="41"/>
  <c r="L29" i="41"/>
  <c r="L34" i="41"/>
  <c r="L15" i="43"/>
  <c r="L24" i="43"/>
  <c r="X25" i="43"/>
  <c r="X16" i="44"/>
  <c r="L21" i="44"/>
  <c r="L25" i="44"/>
  <c r="V29" i="44"/>
  <c r="X22" i="46"/>
  <c r="L16" i="47"/>
  <c r="L29" i="47"/>
  <c r="V33" i="47"/>
  <c r="L24" i="49"/>
  <c r="L13" i="50"/>
  <c r="X29" i="50"/>
  <c r="X20" i="52"/>
  <c r="L22" i="52"/>
  <c r="J33" i="52"/>
  <c r="F18" i="53"/>
  <c r="V31" i="53"/>
  <c r="X20" i="71"/>
  <c r="L22" i="71"/>
  <c r="V25" i="71"/>
  <c r="F15" i="92"/>
  <c r="L24" i="92"/>
  <c r="J25" i="92"/>
  <c r="X29" i="92"/>
  <c r="J22" i="93"/>
  <c r="X24" i="93"/>
  <c r="V25" i="93"/>
  <c r="X20" i="94"/>
  <c r="R15" i="14"/>
  <c r="F22" i="43"/>
  <c r="F21" i="43"/>
  <c r="F18" i="43"/>
  <c r="R15" i="4"/>
  <c r="V16" i="4"/>
  <c r="J24" i="4"/>
  <c r="V16" i="5"/>
  <c r="V20" i="5"/>
  <c r="F27" i="5"/>
  <c r="Z16" i="7"/>
  <c r="V22" i="7"/>
  <c r="X12" i="8"/>
  <c r="L20" i="8"/>
  <c r="L22" i="8"/>
  <c r="Z12" i="10"/>
  <c r="V15" i="10"/>
  <c r="V16" i="10"/>
  <c r="L29" i="10"/>
  <c r="R15" i="11"/>
  <c r="V22" i="11"/>
  <c r="V27" i="11"/>
  <c r="Z16" i="13"/>
  <c r="Z20" i="13"/>
  <c r="X12" i="14"/>
  <c r="P18" i="14"/>
  <c r="P27" i="14" s="1"/>
  <c r="J25" i="14"/>
  <c r="L29" i="14"/>
  <c r="L33" i="14"/>
  <c r="J34" i="14"/>
  <c r="X12" i="16"/>
  <c r="F27" i="16"/>
  <c r="F31" i="16"/>
  <c r="Z29" i="17"/>
  <c r="R16" i="19"/>
  <c r="F15" i="20"/>
  <c r="H18" i="20"/>
  <c r="V25" i="20"/>
  <c r="X34" i="20"/>
  <c r="L16" i="22"/>
  <c r="X20" i="22"/>
  <c r="J18" i="25"/>
  <c r="F24" i="25"/>
  <c r="X22" i="26"/>
  <c r="Z12" i="29"/>
  <c r="V21" i="29"/>
  <c r="H18" i="31"/>
  <c r="H27" i="31" s="1"/>
  <c r="R27" i="31"/>
  <c r="R31" i="31"/>
  <c r="F18" i="32"/>
  <c r="J25" i="32"/>
  <c r="F34" i="32"/>
  <c r="J16" i="34"/>
  <c r="X25" i="34"/>
  <c r="R29" i="34"/>
  <c r="V24" i="35"/>
  <c r="R31" i="35"/>
  <c r="P18" i="37"/>
  <c r="P27" i="37" s="1"/>
  <c r="L25" i="37"/>
  <c r="R33" i="37"/>
  <c r="N12" i="38"/>
  <c r="R25" i="38"/>
  <c r="R25" i="40"/>
  <c r="L33" i="40"/>
  <c r="L13" i="41"/>
  <c r="J27" i="41"/>
  <c r="J31" i="41"/>
  <c r="L20" i="46"/>
  <c r="N20" i="46"/>
  <c r="L16" i="5"/>
  <c r="L20" i="5"/>
  <c r="P18" i="7"/>
  <c r="P27" i="7" s="1"/>
  <c r="R29" i="7"/>
  <c r="F20" i="8"/>
  <c r="X24" i="8"/>
  <c r="V20" i="10"/>
  <c r="V33" i="10"/>
  <c r="L29" i="11"/>
  <c r="V34" i="11"/>
  <c r="R18" i="13"/>
  <c r="V22" i="13"/>
  <c r="J21" i="14"/>
  <c r="J22" i="14"/>
  <c r="N33" i="14"/>
  <c r="J21" i="16"/>
  <c r="V27" i="16"/>
  <c r="V31" i="16"/>
  <c r="F34" i="16"/>
  <c r="L15" i="17"/>
  <c r="L13" i="19"/>
  <c r="J24" i="19"/>
  <c r="L16" i="20"/>
  <c r="V20" i="20"/>
  <c r="R22" i="20"/>
  <c r="V21" i="22"/>
  <c r="J18" i="23"/>
  <c r="J27" i="23"/>
  <c r="J36" i="23"/>
  <c r="F21" i="25"/>
  <c r="J25" i="25"/>
  <c r="J29" i="25"/>
  <c r="J33" i="25"/>
  <c r="V21" i="26"/>
  <c r="V27" i="26"/>
  <c r="V31" i="26"/>
  <c r="X13" i="28"/>
  <c r="R15" i="28"/>
  <c r="J27" i="28"/>
  <c r="J31" i="28"/>
  <c r="L34" i="28"/>
  <c r="H18" i="29"/>
  <c r="H27" i="29" s="1"/>
  <c r="R27" i="29"/>
  <c r="J18" i="31"/>
  <c r="F15" i="32"/>
  <c r="T18" i="32"/>
  <c r="T27" i="32" s="1"/>
  <c r="Z27" i="32" s="1"/>
  <c r="J29" i="32"/>
  <c r="X33" i="34"/>
  <c r="R34" i="34"/>
  <c r="R18" i="37"/>
  <c r="R36" i="37"/>
  <c r="R15" i="38"/>
  <c r="V16" i="38"/>
  <c r="R36" i="38"/>
  <c r="R15" i="40"/>
  <c r="R20" i="40"/>
  <c r="J33" i="53"/>
  <c r="J36" i="53"/>
  <c r="J31" i="53"/>
  <c r="J22" i="53"/>
  <c r="J25" i="53"/>
  <c r="J24" i="53"/>
  <c r="N12" i="53"/>
  <c r="L22" i="92"/>
  <c r="R15" i="23"/>
  <c r="R22" i="23"/>
  <c r="N24" i="94"/>
  <c r="L24" i="94"/>
  <c r="X12" i="4"/>
  <c r="X25" i="4"/>
  <c r="R29" i="4"/>
  <c r="X12" i="5"/>
  <c r="F16" i="5"/>
  <c r="F20" i="5"/>
  <c r="R18" i="7"/>
  <c r="F16" i="8"/>
  <c r="L21" i="8"/>
  <c r="X22" i="8"/>
  <c r="P18" i="10"/>
  <c r="P27" i="10" s="1"/>
  <c r="V21" i="10"/>
  <c r="J25" i="10"/>
  <c r="X12" i="11"/>
  <c r="X13" i="11"/>
  <c r="R18" i="11"/>
  <c r="L24" i="11"/>
  <c r="F16" i="13"/>
  <c r="L20" i="16"/>
  <c r="L33" i="16"/>
  <c r="R16" i="17"/>
  <c r="X20" i="17"/>
  <c r="N12" i="19"/>
  <c r="R15" i="19"/>
  <c r="V16" i="19"/>
  <c r="X33" i="19"/>
  <c r="J15" i="20"/>
  <c r="F16" i="20"/>
  <c r="V21" i="20"/>
  <c r="F27" i="20"/>
  <c r="P18" i="23"/>
  <c r="P27" i="23" s="1"/>
  <c r="J24" i="23"/>
  <c r="J31" i="23"/>
  <c r="R36" i="23"/>
  <c r="L13" i="25"/>
  <c r="J15" i="25"/>
  <c r="F16" i="25"/>
  <c r="F20" i="25"/>
  <c r="J24" i="25"/>
  <c r="F18" i="26"/>
  <c r="J18" i="28"/>
  <c r="F24" i="28"/>
  <c r="F16" i="31"/>
  <c r="F24" i="31"/>
  <c r="L16" i="32"/>
  <c r="V18" i="32"/>
  <c r="F21" i="32"/>
  <c r="J33" i="32"/>
  <c r="R16" i="34"/>
  <c r="J21" i="34"/>
  <c r="J20" i="35"/>
  <c r="L20" i="37"/>
  <c r="F22" i="37"/>
  <c r="R29" i="37"/>
  <c r="R22" i="38"/>
  <c r="J31" i="38"/>
  <c r="J24" i="41"/>
  <c r="J34" i="41"/>
  <c r="V22" i="43"/>
  <c r="V21" i="43"/>
  <c r="X15" i="47"/>
  <c r="Z12" i="4"/>
  <c r="R25" i="4"/>
  <c r="L33" i="7"/>
  <c r="L13" i="8"/>
  <c r="R22" i="8"/>
  <c r="T18" i="10"/>
  <c r="T27" i="10" s="1"/>
  <c r="J24" i="10"/>
  <c r="Z12" i="11"/>
  <c r="L16" i="11"/>
  <c r="N24" i="11"/>
  <c r="F20" i="13"/>
  <c r="F22" i="13"/>
  <c r="L24" i="13"/>
  <c r="J15" i="14"/>
  <c r="R25" i="14"/>
  <c r="R29" i="14"/>
  <c r="R33" i="14"/>
  <c r="R20" i="17"/>
  <c r="R20" i="19"/>
  <c r="R33" i="19"/>
  <c r="L12" i="20"/>
  <c r="T18" i="20"/>
  <c r="T27" i="20" s="1"/>
  <c r="T31" i="20" s="1"/>
  <c r="F31" i="20"/>
  <c r="V22" i="22"/>
  <c r="V18" i="23"/>
  <c r="J22" i="23"/>
  <c r="J25" i="23"/>
  <c r="N12" i="26"/>
  <c r="V18" i="26"/>
  <c r="F21" i="26"/>
  <c r="P18" i="28"/>
  <c r="P27" i="28" s="1"/>
  <c r="P31" i="28" s="1"/>
  <c r="J34" i="28"/>
  <c r="J15" i="29"/>
  <c r="F16" i="29"/>
  <c r="F20" i="29"/>
  <c r="F21" i="29"/>
  <c r="F24" i="29"/>
  <c r="J15" i="31"/>
  <c r="F20" i="31"/>
  <c r="F21" i="31"/>
  <c r="J25" i="31"/>
  <c r="J29" i="31"/>
  <c r="J33" i="31"/>
  <c r="J15" i="32"/>
  <c r="J22" i="32"/>
  <c r="R24" i="32"/>
  <c r="V15" i="34"/>
  <c r="V27" i="34"/>
  <c r="V31" i="34"/>
  <c r="R36" i="34"/>
  <c r="R36" i="35"/>
  <c r="Z12" i="38"/>
  <c r="V20" i="38"/>
  <c r="Z24" i="38"/>
  <c r="J27" i="38"/>
  <c r="P18" i="40"/>
  <c r="P27" i="40" s="1"/>
  <c r="V22" i="40"/>
  <c r="L34" i="53"/>
  <c r="R29" i="23"/>
  <c r="R22" i="4"/>
  <c r="J21" i="5"/>
  <c r="J24" i="5"/>
  <c r="L25" i="5"/>
  <c r="Z12" i="7"/>
  <c r="L15" i="7"/>
  <c r="R25" i="7"/>
  <c r="X15" i="8"/>
  <c r="J15" i="10"/>
  <c r="V18" i="10"/>
  <c r="J31" i="10"/>
  <c r="X25" i="11"/>
  <c r="L13" i="13"/>
  <c r="J16" i="13"/>
  <c r="N24" i="13"/>
  <c r="L33" i="13"/>
  <c r="N15" i="14"/>
  <c r="X21" i="14"/>
  <c r="X20" i="16"/>
  <c r="L24" i="16"/>
  <c r="L24" i="17"/>
  <c r="X24" i="19"/>
  <c r="X25" i="19"/>
  <c r="R29" i="19"/>
  <c r="R36" i="19"/>
  <c r="L20" i="20"/>
  <c r="V27" i="20"/>
  <c r="V31" i="20"/>
  <c r="J15" i="23"/>
  <c r="X24" i="23"/>
  <c r="J29" i="23"/>
  <c r="J36" i="25"/>
  <c r="J25" i="26"/>
  <c r="J29" i="26"/>
  <c r="J33" i="26"/>
  <c r="L22" i="28"/>
  <c r="F22" i="29"/>
  <c r="J25" i="29"/>
  <c r="J29" i="29"/>
  <c r="J33" i="29"/>
  <c r="L20" i="31"/>
  <c r="J24" i="31"/>
  <c r="L12" i="32"/>
  <c r="J21" i="32"/>
  <c r="X29" i="32"/>
  <c r="P18" i="34"/>
  <c r="P27" i="34" s="1"/>
  <c r="R20" i="34"/>
  <c r="V22" i="34"/>
  <c r="V21" i="35"/>
  <c r="X29" i="35"/>
  <c r="L13" i="37"/>
  <c r="R16" i="37"/>
  <c r="N21" i="37"/>
  <c r="R25" i="37"/>
  <c r="H18" i="38"/>
  <c r="N18" i="38" s="1"/>
  <c r="J34" i="38"/>
  <c r="L16" i="40"/>
  <c r="R18" i="40"/>
  <c r="L25" i="40"/>
  <c r="R33" i="40"/>
  <c r="X12" i="41"/>
  <c r="R15" i="41"/>
  <c r="V16" i="41"/>
  <c r="X25" i="41"/>
  <c r="X29" i="41"/>
  <c r="X33" i="41"/>
  <c r="J15" i="53"/>
  <c r="L13" i="4"/>
  <c r="X21" i="4"/>
  <c r="J27" i="4"/>
  <c r="J31" i="4"/>
  <c r="L13" i="5"/>
  <c r="X29" i="5"/>
  <c r="X24" i="7"/>
  <c r="R15" i="8"/>
  <c r="V20" i="8"/>
  <c r="L25" i="8"/>
  <c r="X29" i="8"/>
  <c r="N12" i="10"/>
  <c r="L20" i="10"/>
  <c r="X24" i="10"/>
  <c r="L33" i="10"/>
  <c r="L13" i="11"/>
  <c r="R25" i="11"/>
  <c r="X25" i="16"/>
  <c r="X29" i="16"/>
  <c r="X33" i="16"/>
  <c r="N12" i="17"/>
  <c r="X13" i="17"/>
  <c r="F18" i="17"/>
  <c r="F24" i="17"/>
  <c r="Z12" i="19"/>
  <c r="J18" i="19"/>
  <c r="V20" i="19"/>
  <c r="R22" i="19"/>
  <c r="R24" i="19"/>
  <c r="R25" i="19"/>
  <c r="L34" i="19"/>
  <c r="F20" i="20"/>
  <c r="J21" i="20"/>
  <c r="J24" i="20"/>
  <c r="L29" i="20"/>
  <c r="L33" i="20"/>
  <c r="L13" i="22"/>
  <c r="R18" i="22"/>
  <c r="F22" i="22"/>
  <c r="N12" i="23"/>
  <c r="R24" i="23"/>
  <c r="R25" i="23"/>
  <c r="J33" i="23"/>
  <c r="J34" i="23"/>
  <c r="X15" i="25"/>
  <c r="X22" i="25"/>
  <c r="L16" i="26"/>
  <c r="J21" i="26"/>
  <c r="J22" i="26"/>
  <c r="V34" i="26"/>
  <c r="J21" i="28"/>
  <c r="X16" i="29"/>
  <c r="X20" i="29"/>
  <c r="J24" i="29"/>
  <c r="X15" i="31"/>
  <c r="X16" i="31"/>
  <c r="X25" i="31"/>
  <c r="X29" i="31"/>
  <c r="X33" i="31"/>
  <c r="J36" i="31"/>
  <c r="N12" i="32"/>
  <c r="X16" i="32"/>
  <c r="X21" i="32"/>
  <c r="X22" i="32"/>
  <c r="F27" i="32"/>
  <c r="V34" i="32"/>
  <c r="L12" i="34"/>
  <c r="L15" i="34"/>
  <c r="R18" i="34"/>
  <c r="L24" i="34"/>
  <c r="J25" i="34"/>
  <c r="L13" i="35"/>
  <c r="X15" i="35"/>
  <c r="V16" i="35"/>
  <c r="R29" i="35"/>
  <c r="R20" i="37"/>
  <c r="X21" i="37"/>
  <c r="X22" i="37"/>
  <c r="L16" i="38"/>
  <c r="L15" i="40"/>
  <c r="L20" i="40"/>
  <c r="L22" i="40"/>
  <c r="R36" i="40"/>
  <c r="X24" i="41"/>
  <c r="R25" i="41"/>
  <c r="R29" i="41"/>
  <c r="R33" i="41"/>
  <c r="X15" i="43"/>
  <c r="V18" i="43"/>
  <c r="X22" i="44"/>
  <c r="X25" i="46"/>
  <c r="L20" i="92"/>
  <c r="R15" i="10"/>
  <c r="R16" i="23"/>
  <c r="R22" i="5"/>
  <c r="F31" i="5"/>
  <c r="R15" i="7"/>
  <c r="V20" i="7"/>
  <c r="R36" i="7"/>
  <c r="V15" i="8"/>
  <c r="J24" i="8"/>
  <c r="X15" i="11"/>
  <c r="V16" i="11"/>
  <c r="V20" i="11"/>
  <c r="V16" i="13"/>
  <c r="V20" i="13"/>
  <c r="R22" i="13"/>
  <c r="J18" i="14"/>
  <c r="J24" i="14"/>
  <c r="L25" i="14"/>
  <c r="L20" i="17"/>
  <c r="L21" i="17"/>
  <c r="R18" i="19"/>
  <c r="J27" i="19"/>
  <c r="J34" i="19"/>
  <c r="Z12" i="20"/>
  <c r="D18" i="20"/>
  <c r="X20" i="20"/>
  <c r="V34" i="20"/>
  <c r="R20" i="23"/>
  <c r="R33" i="23"/>
  <c r="X13" i="25"/>
  <c r="H18" i="25"/>
  <c r="H27" i="25" s="1"/>
  <c r="N27" i="25" s="1"/>
  <c r="J15" i="26"/>
  <c r="L13" i="28"/>
  <c r="R16" i="28"/>
  <c r="R20" i="28"/>
  <c r="R21" i="28"/>
  <c r="X22" i="28"/>
  <c r="R25" i="28"/>
  <c r="R29" i="28"/>
  <c r="R33" i="28"/>
  <c r="R36" i="28"/>
  <c r="V16" i="29"/>
  <c r="V20" i="29"/>
  <c r="V21" i="31"/>
  <c r="X22" i="31"/>
  <c r="D18" i="32"/>
  <c r="D27" i="32" s="1"/>
  <c r="D31" i="32" s="1"/>
  <c r="V21" i="32"/>
  <c r="V31" i="32"/>
  <c r="L22" i="34"/>
  <c r="X29" i="34"/>
  <c r="P18" i="35"/>
  <c r="P27" i="35" s="1"/>
  <c r="V22" i="37"/>
  <c r="X34" i="37"/>
  <c r="J15" i="38"/>
  <c r="R29" i="38"/>
  <c r="R33" i="38"/>
  <c r="R16" i="40"/>
  <c r="H18" i="41"/>
  <c r="N18" i="41" s="1"/>
  <c r="R36" i="41"/>
  <c r="J20" i="43"/>
  <c r="J15" i="43"/>
  <c r="J36" i="43"/>
  <c r="J22" i="43"/>
  <c r="J25" i="43"/>
  <c r="J29" i="43"/>
  <c r="J33" i="43"/>
  <c r="X25" i="44"/>
  <c r="R18" i="52"/>
  <c r="R24" i="52"/>
  <c r="T18" i="44"/>
  <c r="T27" i="44" s="1"/>
  <c r="V25" i="44"/>
  <c r="J15" i="46"/>
  <c r="R24" i="46"/>
  <c r="V15" i="47"/>
  <c r="T18" i="47"/>
  <c r="T27" i="47" s="1"/>
  <c r="R21" i="47"/>
  <c r="R24" i="47"/>
  <c r="V29" i="47"/>
  <c r="J27" i="49"/>
  <c r="R22" i="50"/>
  <c r="X24" i="50"/>
  <c r="J27" i="50"/>
  <c r="V18" i="52"/>
  <c r="J29" i="52"/>
  <c r="L12" i="53"/>
  <c r="T18" i="53"/>
  <c r="Z18" i="53" s="1"/>
  <c r="J20" i="71"/>
  <c r="X25" i="71"/>
  <c r="X33" i="92"/>
  <c r="N12" i="93"/>
  <c r="T18" i="93"/>
  <c r="T27" i="93" s="1"/>
  <c r="V20" i="93"/>
  <c r="R21" i="93"/>
  <c r="R16" i="94"/>
  <c r="J20" i="94"/>
  <c r="R33" i="94"/>
  <c r="R36" i="94"/>
  <c r="X34" i="43"/>
  <c r="V18" i="44"/>
  <c r="V20" i="44"/>
  <c r="L33" i="44"/>
  <c r="X16" i="46"/>
  <c r="X20" i="46"/>
  <c r="L33" i="46"/>
  <c r="V18" i="47"/>
  <c r="V20" i="47"/>
  <c r="V25" i="47"/>
  <c r="L29" i="49"/>
  <c r="X33" i="49"/>
  <c r="R15" i="50"/>
  <c r="V16" i="50"/>
  <c r="V20" i="50"/>
  <c r="Z24" i="50"/>
  <c r="J34" i="50"/>
  <c r="F21" i="52"/>
  <c r="J25" i="52"/>
  <c r="J36" i="52"/>
  <c r="V18" i="53"/>
  <c r="V20" i="53"/>
  <c r="X15" i="71"/>
  <c r="X24" i="71"/>
  <c r="R25" i="71"/>
  <c r="R29" i="71"/>
  <c r="R33" i="71"/>
  <c r="X13" i="92"/>
  <c r="X15" i="92"/>
  <c r="Z33" i="92"/>
  <c r="V15" i="93"/>
  <c r="V18" i="93"/>
  <c r="V22" i="93"/>
  <c r="R24" i="93"/>
  <c r="R25" i="93"/>
  <c r="R29" i="93"/>
  <c r="R33" i="93"/>
  <c r="R15" i="94"/>
  <c r="F33" i="44"/>
  <c r="L15" i="47"/>
  <c r="V16" i="47"/>
  <c r="L33" i="47"/>
  <c r="X12" i="49"/>
  <c r="L15" i="49"/>
  <c r="V22" i="49"/>
  <c r="R33" i="49"/>
  <c r="J22" i="52"/>
  <c r="V15" i="53"/>
  <c r="R15" i="71"/>
  <c r="V34" i="71"/>
  <c r="X20" i="92"/>
  <c r="L34" i="92"/>
  <c r="V16" i="93"/>
  <c r="X13" i="94"/>
  <c r="R20" i="94"/>
  <c r="R29" i="94"/>
  <c r="L16" i="43"/>
  <c r="L20" i="43"/>
  <c r="L12" i="44"/>
  <c r="V15" i="44"/>
  <c r="F20" i="44"/>
  <c r="F29" i="44"/>
  <c r="N12" i="46"/>
  <c r="X13" i="46"/>
  <c r="V21" i="46"/>
  <c r="Z22" i="46"/>
  <c r="L25" i="46"/>
  <c r="J33" i="46"/>
  <c r="F15" i="47"/>
  <c r="F20" i="47"/>
  <c r="L22" i="47"/>
  <c r="F33" i="47"/>
  <c r="Z34" i="49"/>
  <c r="J15" i="52"/>
  <c r="X16" i="53"/>
  <c r="F20" i="53"/>
  <c r="L21" i="53"/>
  <c r="X33" i="53"/>
  <c r="R21" i="71"/>
  <c r="L15" i="93"/>
  <c r="F36" i="93"/>
  <c r="N12" i="44"/>
  <c r="X15" i="44"/>
  <c r="J22" i="44"/>
  <c r="J24" i="44"/>
  <c r="F25" i="44"/>
  <c r="J29" i="46"/>
  <c r="F16" i="47"/>
  <c r="F29" i="47"/>
  <c r="X16" i="49"/>
  <c r="X20" i="49"/>
  <c r="R29" i="49"/>
  <c r="R36" i="49"/>
  <c r="J24" i="50"/>
  <c r="R29" i="50"/>
  <c r="R33" i="50"/>
  <c r="X34" i="50"/>
  <c r="R33" i="53"/>
  <c r="V15" i="71"/>
  <c r="P18" i="71"/>
  <c r="P27" i="71" s="1"/>
  <c r="V22" i="71"/>
  <c r="V27" i="71"/>
  <c r="V31" i="71"/>
  <c r="H18" i="92"/>
  <c r="H27" i="92" s="1"/>
  <c r="F15" i="93"/>
  <c r="L21" i="93"/>
  <c r="V36" i="93"/>
  <c r="P18" i="94"/>
  <c r="P27" i="94" s="1"/>
  <c r="L33" i="94"/>
  <c r="L34" i="94"/>
  <c r="X24" i="43"/>
  <c r="X29" i="43"/>
  <c r="V16" i="44"/>
  <c r="F36" i="44"/>
  <c r="V18" i="46"/>
  <c r="L21" i="46"/>
  <c r="J25" i="46"/>
  <c r="D18" i="47"/>
  <c r="D27" i="47" s="1"/>
  <c r="L20" i="47"/>
  <c r="L21" i="47"/>
  <c r="J22" i="47"/>
  <c r="F25" i="47"/>
  <c r="L13" i="49"/>
  <c r="R15" i="49"/>
  <c r="X25" i="49"/>
  <c r="Z12" i="50"/>
  <c r="F16" i="50"/>
  <c r="F20" i="50"/>
  <c r="X25" i="50"/>
  <c r="F15" i="53"/>
  <c r="V16" i="53"/>
  <c r="R24" i="53"/>
  <c r="R18" i="71"/>
  <c r="R36" i="71"/>
  <c r="D18" i="93"/>
  <c r="L25" i="93"/>
  <c r="L29" i="93"/>
  <c r="V22" i="94"/>
  <c r="X20" i="43"/>
  <c r="X21" i="43"/>
  <c r="D18" i="44"/>
  <c r="D27" i="44" s="1"/>
  <c r="R22" i="44"/>
  <c r="V33" i="44"/>
  <c r="V36" i="44"/>
  <c r="L15" i="46"/>
  <c r="L16" i="46"/>
  <c r="F21" i="46"/>
  <c r="L12" i="47"/>
  <c r="R15" i="47"/>
  <c r="F18" i="47"/>
  <c r="F36" i="47"/>
  <c r="P18" i="49"/>
  <c r="P27" i="49" s="1"/>
  <c r="L22" i="49"/>
  <c r="R25" i="49"/>
  <c r="J31" i="49"/>
  <c r="J34" i="49"/>
  <c r="L15" i="50"/>
  <c r="R25" i="50"/>
  <c r="R36" i="50"/>
  <c r="N12" i="52"/>
  <c r="X13" i="52"/>
  <c r="V21" i="52"/>
  <c r="X34" i="52"/>
  <c r="D18" i="53"/>
  <c r="D27" i="53" s="1"/>
  <c r="X24" i="53"/>
  <c r="R31" i="53"/>
  <c r="L15" i="71"/>
  <c r="L16" i="71"/>
  <c r="V36" i="71"/>
  <c r="L13" i="92"/>
  <c r="J15" i="92"/>
  <c r="F22" i="92"/>
  <c r="J29" i="92"/>
  <c r="P18" i="93"/>
  <c r="F18" i="93"/>
  <c r="F25" i="93"/>
  <c r="F29" i="93"/>
  <c r="F33" i="93"/>
  <c r="L34" i="93"/>
  <c r="X12" i="94"/>
  <c r="J16" i="94"/>
  <c r="L20" i="94"/>
  <c r="L29" i="94"/>
  <c r="Z157" i="3"/>
  <c r="P99" i="9"/>
  <c r="Z53" i="9"/>
  <c r="Z68" i="9"/>
  <c r="Z63" i="3"/>
  <c r="Z92" i="3"/>
  <c r="Z114" i="3"/>
  <c r="Z127" i="3"/>
  <c r="Z55" i="9"/>
  <c r="N57" i="9"/>
  <c r="Z122" i="3"/>
  <c r="H26" i="6"/>
  <c r="N22" i="6"/>
  <c r="Z63" i="9"/>
  <c r="N181" i="3"/>
  <c r="T22" i="6"/>
  <c r="Z16" i="6"/>
  <c r="Z75" i="3"/>
  <c r="N86" i="3"/>
  <c r="Z90" i="3"/>
  <c r="N92" i="3"/>
  <c r="Z164" i="3"/>
  <c r="Z85" i="9"/>
  <c r="P12" i="3"/>
  <c r="J25" i="3"/>
  <c r="V29" i="3"/>
  <c r="J33" i="3"/>
  <c r="V37" i="3"/>
  <c r="J41" i="3"/>
  <c r="V45" i="3"/>
  <c r="J49" i="3"/>
  <c r="V53" i="3"/>
  <c r="J57" i="3"/>
  <c r="J63" i="3"/>
  <c r="J65" i="3"/>
  <c r="V69" i="3"/>
  <c r="J73" i="3"/>
  <c r="J77" i="3"/>
  <c r="V81" i="3"/>
  <c r="J85" i="3"/>
  <c r="X88" i="3"/>
  <c r="Z88" i="3" s="1"/>
  <c r="V89" i="3"/>
  <c r="L90" i="3"/>
  <c r="N90" i="3" s="1"/>
  <c r="J93" i="3"/>
  <c r="J97" i="3"/>
  <c r="V101" i="3"/>
  <c r="J105" i="3"/>
  <c r="J109" i="3"/>
  <c r="V113" i="3"/>
  <c r="J117" i="3"/>
  <c r="V121" i="3"/>
  <c r="V125" i="3"/>
  <c r="J127" i="3"/>
  <c r="V129" i="3"/>
  <c r="V133" i="3"/>
  <c r="J137" i="3"/>
  <c r="V141" i="3"/>
  <c r="J145" i="3"/>
  <c r="V149" i="3"/>
  <c r="V153" i="3"/>
  <c r="J155" i="3"/>
  <c r="D164" i="3"/>
  <c r="L164" i="3" s="1"/>
  <c r="N164" i="3" s="1"/>
  <c r="J168" i="3"/>
  <c r="V169" i="3"/>
  <c r="J21" i="4"/>
  <c r="F27" i="4"/>
  <c r="V27" i="4"/>
  <c r="F31" i="4"/>
  <c r="V31" i="4"/>
  <c r="F34" i="4"/>
  <c r="V34" i="4"/>
  <c r="J18" i="5"/>
  <c r="F24" i="5"/>
  <c r="V24" i="5"/>
  <c r="V16" i="6"/>
  <c r="V20" i="6"/>
  <c r="V26" i="6"/>
  <c r="V29" i="6"/>
  <c r="F16" i="7"/>
  <c r="F20" i="7"/>
  <c r="J24" i="7"/>
  <c r="J21" i="8"/>
  <c r="F27" i="8"/>
  <c r="V27" i="8"/>
  <c r="F31" i="8"/>
  <c r="V31" i="8"/>
  <c r="F34" i="8"/>
  <c r="V34" i="8"/>
  <c r="H16" i="9"/>
  <c r="F19" i="9"/>
  <c r="V19" i="9"/>
  <c r="R20" i="9"/>
  <c r="J23" i="9"/>
  <c r="F24" i="9"/>
  <c r="V27" i="9"/>
  <c r="R28" i="9"/>
  <c r="F31" i="9"/>
  <c r="V31" i="9"/>
  <c r="R32" i="9"/>
  <c r="J35" i="9"/>
  <c r="F36" i="9"/>
  <c r="V39" i="9"/>
  <c r="R40" i="9"/>
  <c r="V43" i="9"/>
  <c r="J47" i="9"/>
  <c r="F51" i="9"/>
  <c r="V51" i="9"/>
  <c r="R52" i="9"/>
  <c r="J53" i="9"/>
  <c r="F56" i="9"/>
  <c r="R57" i="9"/>
  <c r="F59" i="9"/>
  <c r="V59" i="9"/>
  <c r="R60" i="9"/>
  <c r="J61" i="9"/>
  <c r="F64" i="9"/>
  <c r="V67" i="9"/>
  <c r="V71" i="9"/>
  <c r="R72" i="9"/>
  <c r="J73" i="9"/>
  <c r="V75" i="9"/>
  <c r="J79" i="9"/>
  <c r="F80" i="9"/>
  <c r="V83" i="9"/>
  <c r="R84" i="9"/>
  <c r="J85" i="9"/>
  <c r="V87" i="9"/>
  <c r="J91" i="9"/>
  <c r="F93" i="9"/>
  <c r="V93" i="9"/>
  <c r="J97" i="9"/>
  <c r="F99" i="9"/>
  <c r="V99" i="9"/>
  <c r="F16" i="10"/>
  <c r="R22" i="10"/>
  <c r="F34" i="11"/>
  <c r="F31" i="11"/>
  <c r="F24" i="11"/>
  <c r="F21" i="11"/>
  <c r="F18" i="11"/>
  <c r="F36" i="11"/>
  <c r="F33" i="11"/>
  <c r="F29" i="11"/>
  <c r="F25" i="11"/>
  <c r="D18" i="11"/>
  <c r="F15" i="11"/>
  <c r="L12" i="11"/>
  <c r="P18" i="11"/>
  <c r="D12" i="12"/>
  <c r="L13" i="12"/>
  <c r="N13" i="12" s="1"/>
  <c r="P12" i="12"/>
  <c r="X16" i="12"/>
  <c r="J40" i="12"/>
  <c r="J96" i="12"/>
  <c r="Z101" i="12"/>
  <c r="N103" i="12"/>
  <c r="J124" i="12"/>
  <c r="J26" i="3"/>
  <c r="V30" i="3"/>
  <c r="J34" i="3"/>
  <c r="V38" i="3"/>
  <c r="J42" i="3"/>
  <c r="V46" i="3"/>
  <c r="J50" i="3"/>
  <c r="V54" i="3"/>
  <c r="J58" i="3"/>
  <c r="T61" i="3"/>
  <c r="J66" i="3"/>
  <c r="V70" i="3"/>
  <c r="J74" i="3"/>
  <c r="J78" i="3"/>
  <c r="V82" i="3"/>
  <c r="V86" i="3"/>
  <c r="J88" i="3"/>
  <c r="J94" i="3"/>
  <c r="V98" i="3"/>
  <c r="J100" i="3"/>
  <c r="J106" i="3"/>
  <c r="V110" i="3"/>
  <c r="J112" i="3"/>
  <c r="V118" i="3"/>
  <c r="J120" i="3"/>
  <c r="V126" i="3"/>
  <c r="V130" i="3"/>
  <c r="J132" i="3"/>
  <c r="V134" i="3"/>
  <c r="V138" i="3"/>
  <c r="V142" i="3"/>
  <c r="J146" i="3"/>
  <c r="V150" i="3"/>
  <c r="J152" i="3"/>
  <c r="V154" i="3"/>
  <c r="J158" i="3"/>
  <c r="J162" i="3"/>
  <c r="V164" i="3"/>
  <c r="J171" i="3"/>
  <c r="V172" i="3"/>
  <c r="J176" i="3"/>
  <c r="V181" i="3"/>
  <c r="F16" i="4"/>
  <c r="F20" i="4"/>
  <c r="V27" i="5"/>
  <c r="V31" i="5"/>
  <c r="F34" i="5"/>
  <c r="V34" i="5"/>
  <c r="J27" i="7"/>
  <c r="J31" i="7"/>
  <c r="J34" i="7"/>
  <c r="F25" i="9"/>
  <c r="F37" i="9"/>
  <c r="V40" i="9"/>
  <c r="R41" i="9"/>
  <c r="J42" i="9"/>
  <c r="F45" i="9"/>
  <c r="R46" i="9"/>
  <c r="F48" i="9"/>
  <c r="V48" i="9"/>
  <c r="R49" i="9"/>
  <c r="V52" i="9"/>
  <c r="J56" i="9"/>
  <c r="V60" i="9"/>
  <c r="J64" i="9"/>
  <c r="F65" i="9"/>
  <c r="F69" i="9"/>
  <c r="V72" i="9"/>
  <c r="F77" i="9"/>
  <c r="R78" i="9"/>
  <c r="J80" i="9"/>
  <c r="F81" i="9"/>
  <c r="V84" i="9"/>
  <c r="F89" i="9"/>
  <c r="R90" i="9"/>
  <c r="F34" i="10"/>
  <c r="F31" i="10"/>
  <c r="R25" i="10"/>
  <c r="F29" i="10"/>
  <c r="R36" i="10"/>
  <c r="J34" i="11"/>
  <c r="J31" i="11"/>
  <c r="J27" i="11"/>
  <c r="J18" i="11"/>
  <c r="J36" i="11"/>
  <c r="J33" i="11"/>
  <c r="J29" i="11"/>
  <c r="J25" i="11"/>
  <c r="H18" i="11"/>
  <c r="J15" i="11"/>
  <c r="J22" i="11"/>
  <c r="N12" i="11"/>
  <c r="J54" i="12"/>
  <c r="J84" i="12"/>
  <c r="J144" i="12"/>
  <c r="J151" i="12"/>
  <c r="J27" i="3"/>
  <c r="V31" i="3"/>
  <c r="J35" i="3"/>
  <c r="V39" i="3"/>
  <c r="J43" i="3"/>
  <c r="V47" i="3"/>
  <c r="J51" i="3"/>
  <c r="V55" i="3"/>
  <c r="J59" i="3"/>
  <c r="V61" i="3"/>
  <c r="J67" i="3"/>
  <c r="V71" i="3"/>
  <c r="V75" i="3"/>
  <c r="J79" i="3"/>
  <c r="V83" i="3"/>
  <c r="V87" i="3"/>
  <c r="J91" i="3"/>
  <c r="V95" i="3"/>
  <c r="V99" i="3"/>
  <c r="J103" i="3"/>
  <c r="V107" i="3"/>
  <c r="V111" i="3"/>
  <c r="J115" i="3"/>
  <c r="V119" i="3"/>
  <c r="J123" i="3"/>
  <c r="V131" i="3"/>
  <c r="V135" i="3"/>
  <c r="V139" i="3"/>
  <c r="J141" i="3"/>
  <c r="V143" i="3"/>
  <c r="J147" i="3"/>
  <c r="V151" i="3"/>
  <c r="J159" i="3"/>
  <c r="J166" i="3"/>
  <c r="V167" i="3"/>
  <c r="P18" i="4"/>
  <c r="R33" i="4"/>
  <c r="J34" i="4"/>
  <c r="R36" i="4"/>
  <c r="J16" i="7"/>
  <c r="J20" i="7"/>
  <c r="F22" i="7"/>
  <c r="P18" i="8"/>
  <c r="R25" i="8"/>
  <c r="J27" i="8"/>
  <c r="R29" i="8"/>
  <c r="J31" i="8"/>
  <c r="R33" i="8"/>
  <c r="J34" i="8"/>
  <c r="R36" i="8"/>
  <c r="J19" i="9"/>
  <c r="V21" i="9"/>
  <c r="R22" i="9"/>
  <c r="J25" i="9"/>
  <c r="F26" i="9"/>
  <c r="V29" i="9"/>
  <c r="R30" i="9"/>
  <c r="J31" i="9"/>
  <c r="V33" i="9"/>
  <c r="R34" i="9"/>
  <c r="J37" i="9"/>
  <c r="F38" i="9"/>
  <c r="V41" i="9"/>
  <c r="J45" i="9"/>
  <c r="V49" i="9"/>
  <c r="R50" i="9"/>
  <c r="J51" i="9"/>
  <c r="F54" i="9"/>
  <c r="R55" i="9"/>
  <c r="F57" i="9"/>
  <c r="V57" i="9"/>
  <c r="R58" i="9"/>
  <c r="J59" i="9"/>
  <c r="F62" i="9"/>
  <c r="R63" i="9"/>
  <c r="J65" i="9"/>
  <c r="F66" i="9"/>
  <c r="J69" i="9"/>
  <c r="F70" i="9"/>
  <c r="F74" i="9"/>
  <c r="J77" i="9"/>
  <c r="J81" i="9"/>
  <c r="F82" i="9"/>
  <c r="F86" i="9"/>
  <c r="J89" i="9"/>
  <c r="J93" i="9"/>
  <c r="R95" i="9"/>
  <c r="J99" i="9"/>
  <c r="R102" i="9"/>
  <c r="J36" i="10"/>
  <c r="J33" i="10"/>
  <c r="J16" i="10"/>
  <c r="R18" i="10"/>
  <c r="J20" i="10"/>
  <c r="F22" i="10"/>
  <c r="V22" i="10"/>
  <c r="R33" i="10"/>
  <c r="L20" i="11"/>
  <c r="J32" i="12"/>
  <c r="J68" i="12"/>
  <c r="J88" i="12"/>
  <c r="X89" i="12"/>
  <c r="L91" i="12"/>
  <c r="Z103" i="12"/>
  <c r="J132" i="12"/>
  <c r="N137" i="12"/>
  <c r="X15" i="13"/>
  <c r="V24" i="3"/>
  <c r="J28" i="3"/>
  <c r="V32" i="3"/>
  <c r="J36" i="3"/>
  <c r="V40" i="3"/>
  <c r="J44" i="3"/>
  <c r="V48" i="3"/>
  <c r="J52" i="3"/>
  <c r="V56" i="3"/>
  <c r="H61" i="3"/>
  <c r="V64" i="3"/>
  <c r="J68" i="3"/>
  <c r="V72" i="3"/>
  <c r="V76" i="3"/>
  <c r="J80" i="3"/>
  <c r="V84" i="3"/>
  <c r="J86" i="3"/>
  <c r="V92" i="3"/>
  <c r="X95" i="3"/>
  <c r="V96" i="3"/>
  <c r="J98" i="3"/>
  <c r="V104" i="3"/>
  <c r="X107" i="3"/>
  <c r="Z107" i="3" s="1"/>
  <c r="V108" i="3"/>
  <c r="J110" i="3"/>
  <c r="V116" i="3"/>
  <c r="J118" i="3"/>
  <c r="J124" i="3"/>
  <c r="J128" i="3"/>
  <c r="V136" i="3"/>
  <c r="J138" i="3"/>
  <c r="V140" i="3"/>
  <c r="V144" i="3"/>
  <c r="J148" i="3"/>
  <c r="J156" i="3"/>
  <c r="J160" i="3"/>
  <c r="J164" i="3"/>
  <c r="J169" i="3"/>
  <c r="V170" i="3"/>
  <c r="J181" i="3"/>
  <c r="J16" i="4"/>
  <c r="R18" i="4"/>
  <c r="J20" i="4"/>
  <c r="F22" i="4"/>
  <c r="V22" i="4"/>
  <c r="R15" i="5"/>
  <c r="X16" i="5"/>
  <c r="P18" i="5"/>
  <c r="X20" i="5"/>
  <c r="L24" i="5"/>
  <c r="R25" i="5"/>
  <c r="J27" i="5"/>
  <c r="R29" i="5"/>
  <c r="J31" i="5"/>
  <c r="R33" i="5"/>
  <c r="J34" i="5"/>
  <c r="R36" i="5"/>
  <c r="R24" i="6"/>
  <c r="L12" i="7"/>
  <c r="F15" i="7"/>
  <c r="V15" i="7"/>
  <c r="D18" i="7"/>
  <c r="T18" i="7"/>
  <c r="L20" i="7"/>
  <c r="R21" i="7"/>
  <c r="F25" i="7"/>
  <c r="V25" i="7"/>
  <c r="F29" i="7"/>
  <c r="V29" i="7"/>
  <c r="F33" i="7"/>
  <c r="V33" i="7"/>
  <c r="F36" i="7"/>
  <c r="V36" i="7"/>
  <c r="J16" i="8"/>
  <c r="R18" i="8"/>
  <c r="J20" i="8"/>
  <c r="F22" i="8"/>
  <c r="V22" i="8"/>
  <c r="F14" i="9"/>
  <c r="F18" i="9"/>
  <c r="V18" i="9"/>
  <c r="L19" i="9"/>
  <c r="N19" i="9" s="1"/>
  <c r="V22" i="9"/>
  <c r="R23" i="9"/>
  <c r="J26" i="9"/>
  <c r="F27" i="9"/>
  <c r="V30" i="9"/>
  <c r="L31" i="9"/>
  <c r="N31" i="9" s="1"/>
  <c r="V34" i="9"/>
  <c r="R35" i="9"/>
  <c r="J38" i="9"/>
  <c r="F39" i="9"/>
  <c r="F43" i="9"/>
  <c r="R44" i="9"/>
  <c r="F46" i="9"/>
  <c r="V46" i="9"/>
  <c r="R47" i="9"/>
  <c r="J48" i="9"/>
  <c r="V50" i="9"/>
  <c r="L51" i="9"/>
  <c r="N51" i="9" s="1"/>
  <c r="J54" i="9"/>
  <c r="X57" i="9"/>
  <c r="Z57" i="9" s="1"/>
  <c r="V58" i="9"/>
  <c r="L59" i="9"/>
  <c r="J62" i="9"/>
  <c r="J66" i="9"/>
  <c r="F67" i="9"/>
  <c r="R68" i="9"/>
  <c r="J70" i="9"/>
  <c r="F71" i="9"/>
  <c r="J74" i="9"/>
  <c r="F75" i="9"/>
  <c r="R76" i="9"/>
  <c r="F78" i="9"/>
  <c r="V78" i="9"/>
  <c r="R79" i="9"/>
  <c r="J82" i="9"/>
  <c r="F83" i="9"/>
  <c r="J86" i="9"/>
  <c r="F87" i="9"/>
  <c r="R88" i="9"/>
  <c r="F90" i="9"/>
  <c r="V90" i="9"/>
  <c r="R91" i="9"/>
  <c r="R97" i="9"/>
  <c r="L12" i="10"/>
  <c r="F15" i="10"/>
  <c r="D18" i="10"/>
  <c r="R21" i="10"/>
  <c r="F25" i="10"/>
  <c r="V25" i="10"/>
  <c r="J29" i="10"/>
  <c r="F20" i="11"/>
  <c r="J24" i="12"/>
  <c r="J76" i="12"/>
  <c r="X77" i="12"/>
  <c r="L79" i="12"/>
  <c r="Z89" i="12"/>
  <c r="N91" i="12"/>
  <c r="J34" i="13"/>
  <c r="J31" i="13"/>
  <c r="J27" i="13"/>
  <c r="J24" i="13"/>
  <c r="J21" i="13"/>
  <c r="J18" i="13"/>
  <c r="J36" i="13"/>
  <c r="J33" i="13"/>
  <c r="J29" i="13"/>
  <c r="J25" i="13"/>
  <c r="H18" i="13"/>
  <c r="J15" i="13"/>
  <c r="J22" i="13"/>
  <c r="N12" i="13"/>
  <c r="X25" i="13"/>
  <c r="L20" i="14"/>
  <c r="D12" i="3"/>
  <c r="V25" i="3"/>
  <c r="J29" i="3"/>
  <c r="V33" i="3"/>
  <c r="J37" i="3"/>
  <c r="V41" i="3"/>
  <c r="J45" i="3"/>
  <c r="V49" i="3"/>
  <c r="J53" i="3"/>
  <c r="V57" i="3"/>
  <c r="J61" i="3"/>
  <c r="V65" i="3"/>
  <c r="J69" i="3"/>
  <c r="V73" i="3"/>
  <c r="J75" i="3"/>
  <c r="V77" i="3"/>
  <c r="J81" i="3"/>
  <c r="V85" i="3"/>
  <c r="J89" i="3"/>
  <c r="V93" i="3"/>
  <c r="J95" i="3"/>
  <c r="V97" i="3"/>
  <c r="J101" i="3"/>
  <c r="V105" i="3"/>
  <c r="J107" i="3"/>
  <c r="V109" i="3"/>
  <c r="L110" i="3"/>
  <c r="N110" i="3" s="1"/>
  <c r="J113" i="3"/>
  <c r="V117" i="3"/>
  <c r="J121" i="3"/>
  <c r="J125" i="3"/>
  <c r="J129" i="3"/>
  <c r="J133" i="3"/>
  <c r="V137" i="3"/>
  <c r="V145" i="3"/>
  <c r="J149" i="3"/>
  <c r="J153" i="3"/>
  <c r="V157" i="3"/>
  <c r="V161" i="3"/>
  <c r="V165" i="3"/>
  <c r="J172" i="3"/>
  <c r="L12" i="4"/>
  <c r="F15" i="4"/>
  <c r="V15" i="4"/>
  <c r="D18" i="4"/>
  <c r="T18" i="4"/>
  <c r="R21" i="4"/>
  <c r="F25" i="4"/>
  <c r="V25" i="4"/>
  <c r="F29" i="4"/>
  <c r="V29" i="4"/>
  <c r="F33" i="4"/>
  <c r="V33" i="4"/>
  <c r="F36" i="4"/>
  <c r="V36" i="4"/>
  <c r="J16" i="5"/>
  <c r="R18" i="5"/>
  <c r="J20" i="5"/>
  <c r="F22" i="5"/>
  <c r="V22" i="5"/>
  <c r="V14" i="6"/>
  <c r="N16" i="6"/>
  <c r="F18" i="6"/>
  <c r="V18" i="6"/>
  <c r="F22" i="6"/>
  <c r="V22" i="6"/>
  <c r="V24" i="6"/>
  <c r="F28" i="6"/>
  <c r="V28" i="6"/>
  <c r="F31" i="6"/>
  <c r="V31" i="6"/>
  <c r="N12" i="7"/>
  <c r="F18" i="7"/>
  <c r="V18" i="7"/>
  <c r="J22" i="7"/>
  <c r="R24" i="7"/>
  <c r="L12" i="8"/>
  <c r="F15" i="8"/>
  <c r="D18" i="8"/>
  <c r="T18" i="8"/>
  <c r="R21" i="8"/>
  <c r="F25" i="8"/>
  <c r="V25" i="8"/>
  <c r="F29" i="8"/>
  <c r="V29" i="8"/>
  <c r="F33" i="8"/>
  <c r="V33" i="8"/>
  <c r="F36" i="8"/>
  <c r="V36" i="8"/>
  <c r="L12" i="9"/>
  <c r="X14" i="9"/>
  <c r="F20" i="9"/>
  <c r="V23" i="9"/>
  <c r="R24" i="9"/>
  <c r="J27" i="9"/>
  <c r="F28" i="9"/>
  <c r="F32" i="9"/>
  <c r="V35" i="9"/>
  <c r="R36" i="9"/>
  <c r="J39" i="9"/>
  <c r="F40" i="9"/>
  <c r="J43" i="9"/>
  <c r="V47" i="9"/>
  <c r="F52" i="9"/>
  <c r="R53" i="9"/>
  <c r="F55" i="9"/>
  <c r="V55" i="9"/>
  <c r="R56" i="9"/>
  <c r="J57" i="9"/>
  <c r="F60" i="9"/>
  <c r="R61" i="9"/>
  <c r="F63" i="9"/>
  <c r="V63" i="9"/>
  <c r="R64" i="9"/>
  <c r="J67" i="9"/>
  <c r="J71" i="9"/>
  <c r="F72" i="9"/>
  <c r="R73" i="9"/>
  <c r="J75" i="9"/>
  <c r="V79" i="9"/>
  <c r="R80" i="9"/>
  <c r="J83" i="9"/>
  <c r="F84" i="9"/>
  <c r="R85" i="9"/>
  <c r="J87" i="9"/>
  <c r="V91" i="9"/>
  <c r="F95" i="9"/>
  <c r="V95" i="9"/>
  <c r="V97" i="9"/>
  <c r="F102" i="9"/>
  <c r="V102" i="9"/>
  <c r="F18" i="10"/>
  <c r="J56" i="12"/>
  <c r="Z77" i="12"/>
  <c r="N79" i="12"/>
  <c r="J24" i="3"/>
  <c r="J30" i="3"/>
  <c r="V34" i="3"/>
  <c r="J38" i="3"/>
  <c r="V42" i="3"/>
  <c r="J46" i="3"/>
  <c r="V50" i="3"/>
  <c r="J54" i="3"/>
  <c r="V58" i="3"/>
  <c r="J64" i="3"/>
  <c r="V66" i="3"/>
  <c r="J70" i="3"/>
  <c r="V74" i="3"/>
  <c r="V78" i="3"/>
  <c r="J82" i="3"/>
  <c r="V90" i="3"/>
  <c r="J92" i="3"/>
  <c r="V94" i="3"/>
  <c r="V102" i="3"/>
  <c r="J104" i="3"/>
  <c r="V106" i="3"/>
  <c r="V114" i="3"/>
  <c r="J116" i="3"/>
  <c r="V122" i="3"/>
  <c r="J126" i="3"/>
  <c r="J130" i="3"/>
  <c r="J134" i="3"/>
  <c r="J142" i="3"/>
  <c r="V146" i="3"/>
  <c r="J150" i="3"/>
  <c r="J154" i="3"/>
  <c r="V158" i="3"/>
  <c r="V162" i="3"/>
  <c r="X165" i="3"/>
  <c r="J167" i="3"/>
  <c r="V168" i="3"/>
  <c r="V176" i="3"/>
  <c r="V180" i="3"/>
  <c r="N12" i="4"/>
  <c r="F18" i="4"/>
  <c r="V18" i="4"/>
  <c r="J22" i="4"/>
  <c r="R24" i="4"/>
  <c r="L12" i="5"/>
  <c r="F15" i="5"/>
  <c r="V15" i="5"/>
  <c r="D18" i="5"/>
  <c r="T18" i="5"/>
  <c r="R21" i="5"/>
  <c r="F25" i="5"/>
  <c r="V25" i="5"/>
  <c r="F29" i="5"/>
  <c r="V29" i="5"/>
  <c r="F33" i="5"/>
  <c r="V33" i="5"/>
  <c r="F36" i="5"/>
  <c r="V36" i="5"/>
  <c r="L12" i="6"/>
  <c r="P16" i="6"/>
  <c r="J15" i="7"/>
  <c r="H18" i="7"/>
  <c r="F21" i="7"/>
  <c r="V21" i="7"/>
  <c r="J25" i="7"/>
  <c r="R27" i="7"/>
  <c r="J29" i="7"/>
  <c r="R31" i="7"/>
  <c r="J33" i="7"/>
  <c r="R34" i="7"/>
  <c r="J36" i="7"/>
  <c r="N12" i="8"/>
  <c r="F18" i="8"/>
  <c r="V18" i="8"/>
  <c r="J22" i="8"/>
  <c r="R24" i="8"/>
  <c r="J14" i="9"/>
  <c r="J18" i="9"/>
  <c r="J20" i="9"/>
  <c r="F21" i="9"/>
  <c r="V24" i="9"/>
  <c r="R25" i="9"/>
  <c r="J28" i="9"/>
  <c r="F29" i="9"/>
  <c r="J32" i="9"/>
  <c r="F33" i="9"/>
  <c r="V36" i="9"/>
  <c r="R37" i="9"/>
  <c r="J40" i="9"/>
  <c r="F41" i="9"/>
  <c r="R42" i="9"/>
  <c r="F44" i="9"/>
  <c r="V44" i="9"/>
  <c r="R45" i="9"/>
  <c r="J46" i="9"/>
  <c r="F49" i="9"/>
  <c r="J52" i="9"/>
  <c r="V56" i="9"/>
  <c r="J60" i="9"/>
  <c r="V64" i="9"/>
  <c r="R65" i="9"/>
  <c r="F68" i="9"/>
  <c r="V68" i="9"/>
  <c r="R69" i="9"/>
  <c r="J72" i="9"/>
  <c r="F76" i="9"/>
  <c r="V76" i="9"/>
  <c r="R77" i="9"/>
  <c r="J78" i="9"/>
  <c r="V80" i="9"/>
  <c r="R81" i="9"/>
  <c r="J84" i="9"/>
  <c r="F88" i="9"/>
  <c r="V88" i="9"/>
  <c r="R89" i="9"/>
  <c r="J90" i="9"/>
  <c r="R34" i="10"/>
  <c r="R31" i="10"/>
  <c r="H18" i="10"/>
  <c r="F21" i="10"/>
  <c r="R27" i="10"/>
  <c r="R29" i="10"/>
  <c r="J20" i="11"/>
  <c r="J147" i="12"/>
  <c r="J143" i="12"/>
  <c r="J137" i="12"/>
  <c r="J131" i="12"/>
  <c r="J127" i="12"/>
  <c r="J123" i="12"/>
  <c r="J119" i="12"/>
  <c r="J115" i="12"/>
  <c r="J105" i="12"/>
  <c r="J99" i="12"/>
  <c r="J93" i="12"/>
  <c r="J87" i="12"/>
  <c r="J81" i="12"/>
  <c r="J75" i="12"/>
  <c r="J67" i="12"/>
  <c r="J63" i="12"/>
  <c r="J47" i="12"/>
  <c r="J39" i="12"/>
  <c r="J31" i="12"/>
  <c r="J23" i="12"/>
  <c r="J158" i="12"/>
  <c r="J153" i="12"/>
  <c r="J140" i="12"/>
  <c r="J130" i="12"/>
  <c r="J122" i="12"/>
  <c r="J118" i="12"/>
  <c r="J114" i="12"/>
  <c r="J110" i="12"/>
  <c r="J102" i="12"/>
  <c r="J90" i="12"/>
  <c r="J78" i="12"/>
  <c r="J74" i="12"/>
  <c r="J62" i="12"/>
  <c r="J46" i="12"/>
  <c r="J38" i="12"/>
  <c r="J30" i="12"/>
  <c r="J22" i="12"/>
  <c r="J150" i="12"/>
  <c r="J117" i="12"/>
  <c r="J113" i="12"/>
  <c r="J107" i="12"/>
  <c r="J95" i="12"/>
  <c r="J83" i="12"/>
  <c r="J73" i="12"/>
  <c r="J61" i="12"/>
  <c r="J55" i="12"/>
  <c r="J45" i="12"/>
  <c r="J37" i="12"/>
  <c r="J29" i="12"/>
  <c r="J146" i="12"/>
  <c r="J142" i="12"/>
  <c r="J136" i="12"/>
  <c r="J126" i="12"/>
  <c r="J112" i="12"/>
  <c r="J104" i="12"/>
  <c r="J98" i="12"/>
  <c r="J92" i="12"/>
  <c r="J86" i="12"/>
  <c r="J80" i="12"/>
  <c r="J72" i="12"/>
  <c r="J66" i="12"/>
  <c r="J60" i="12"/>
  <c r="J44" i="12"/>
  <c r="J36" i="12"/>
  <c r="J28" i="12"/>
  <c r="J152" i="12"/>
  <c r="J139" i="12"/>
  <c r="J135" i="12"/>
  <c r="J129" i="12"/>
  <c r="J121" i="12"/>
  <c r="J109" i="12"/>
  <c r="J101" i="12"/>
  <c r="J89" i="12"/>
  <c r="J77" i="12"/>
  <c r="J71" i="12"/>
  <c r="J59" i="12"/>
  <c r="H52" i="12"/>
  <c r="J52" i="12" s="1"/>
  <c r="J43" i="12"/>
  <c r="J35" i="12"/>
  <c r="J27" i="12"/>
  <c r="J21" i="12"/>
  <c r="J138" i="12"/>
  <c r="J134" i="12"/>
  <c r="J116" i="12"/>
  <c r="J106" i="12"/>
  <c r="J94" i="12"/>
  <c r="J82" i="12"/>
  <c r="J70" i="12"/>
  <c r="J58" i="12"/>
  <c r="J50" i="12"/>
  <c r="J42" i="12"/>
  <c r="J34" i="12"/>
  <c r="J26" i="12"/>
  <c r="J154" i="12"/>
  <c r="J149" i="12"/>
  <c r="J145" i="12"/>
  <c r="J141" i="12"/>
  <c r="J133" i="12"/>
  <c r="J125" i="12"/>
  <c r="J111" i="12"/>
  <c r="J103" i="12"/>
  <c r="J97" i="12"/>
  <c r="J91" i="12"/>
  <c r="J85" i="12"/>
  <c r="J79" i="12"/>
  <c r="J69" i="12"/>
  <c r="J65" i="12"/>
  <c r="J57" i="12"/>
  <c r="J49" i="12"/>
  <c r="J41" i="12"/>
  <c r="J33" i="12"/>
  <c r="J25" i="12"/>
  <c r="J120" i="12"/>
  <c r="Z121" i="12"/>
  <c r="F36" i="14"/>
  <c r="F20" i="14"/>
  <c r="F16" i="14"/>
  <c r="F34" i="14"/>
  <c r="F31" i="14"/>
  <c r="F27" i="14"/>
  <c r="F24" i="14"/>
  <c r="F21" i="14"/>
  <c r="F18" i="14"/>
  <c r="F33" i="14"/>
  <c r="F29" i="14"/>
  <c r="F25" i="14"/>
  <c r="D18" i="14"/>
  <c r="F15" i="14"/>
  <c r="L12" i="14"/>
  <c r="F22" i="14"/>
  <c r="V27" i="3"/>
  <c r="J31" i="3"/>
  <c r="V35" i="3"/>
  <c r="J39" i="3"/>
  <c r="V43" i="3"/>
  <c r="J47" i="3"/>
  <c r="V51" i="3"/>
  <c r="J55" i="3"/>
  <c r="V59" i="3"/>
  <c r="V63" i="3"/>
  <c r="V67" i="3"/>
  <c r="J71" i="3"/>
  <c r="V79" i="3"/>
  <c r="J83" i="3"/>
  <c r="J87" i="3"/>
  <c r="V91" i="3"/>
  <c r="J99" i="3"/>
  <c r="V103" i="3"/>
  <c r="J111" i="3"/>
  <c r="V115" i="3"/>
  <c r="J119" i="3"/>
  <c r="V123" i="3"/>
  <c r="V127" i="3"/>
  <c r="J131" i="3"/>
  <c r="J135" i="3"/>
  <c r="J139" i="3"/>
  <c r="J143" i="3"/>
  <c r="V147" i="3"/>
  <c r="J151" i="3"/>
  <c r="V155" i="3"/>
  <c r="J157" i="3"/>
  <c r="V159" i="3"/>
  <c r="J161" i="3"/>
  <c r="J170" i="3"/>
  <c r="V171" i="3"/>
  <c r="J15" i="4"/>
  <c r="H18" i="4"/>
  <c r="F21" i="4"/>
  <c r="V21" i="4"/>
  <c r="J25" i="4"/>
  <c r="R27" i="4"/>
  <c r="J29" i="4"/>
  <c r="R31" i="4"/>
  <c r="J33" i="4"/>
  <c r="R34" i="4"/>
  <c r="J36" i="4"/>
  <c r="N12" i="5"/>
  <c r="F18" i="5"/>
  <c r="V18" i="5"/>
  <c r="J22" i="5"/>
  <c r="R24" i="5"/>
  <c r="N12" i="6"/>
  <c r="J14" i="6"/>
  <c r="J18" i="6"/>
  <c r="R20" i="6"/>
  <c r="J22" i="6"/>
  <c r="R26" i="6"/>
  <c r="J28" i="6"/>
  <c r="R16" i="7"/>
  <c r="J18" i="7"/>
  <c r="R20" i="7"/>
  <c r="F24" i="7"/>
  <c r="V24" i="7"/>
  <c r="J15" i="8"/>
  <c r="H18" i="8"/>
  <c r="F21" i="8"/>
  <c r="V21" i="8"/>
  <c r="J25" i="8"/>
  <c r="R27" i="8"/>
  <c r="J29" i="8"/>
  <c r="R31" i="8"/>
  <c r="J33" i="8"/>
  <c r="R34" i="8"/>
  <c r="J36" i="8"/>
  <c r="D16" i="9"/>
  <c r="T16" i="9"/>
  <c r="X16" i="9" s="1"/>
  <c r="R19" i="9"/>
  <c r="J21" i="9"/>
  <c r="F22" i="9"/>
  <c r="V25" i="9"/>
  <c r="R26" i="9"/>
  <c r="J29" i="9"/>
  <c r="F30" i="9"/>
  <c r="R31" i="9"/>
  <c r="J33" i="9"/>
  <c r="F34" i="9"/>
  <c r="V37" i="9"/>
  <c r="R38" i="9"/>
  <c r="J41" i="9"/>
  <c r="V45" i="9"/>
  <c r="J49" i="9"/>
  <c r="F50" i="9"/>
  <c r="R51" i="9"/>
  <c r="F53" i="9"/>
  <c r="V53" i="9"/>
  <c r="R54" i="9"/>
  <c r="J55" i="9"/>
  <c r="F58" i="9"/>
  <c r="R59" i="9"/>
  <c r="F61" i="9"/>
  <c r="V61" i="9"/>
  <c r="R62" i="9"/>
  <c r="J63" i="9"/>
  <c r="V65" i="9"/>
  <c r="R66" i="9"/>
  <c r="V69" i="9"/>
  <c r="R70" i="9"/>
  <c r="F73" i="9"/>
  <c r="V73" i="9"/>
  <c r="R74" i="9"/>
  <c r="V77" i="9"/>
  <c r="V81" i="9"/>
  <c r="R82" i="9"/>
  <c r="F85" i="9"/>
  <c r="V85" i="9"/>
  <c r="R86" i="9"/>
  <c r="X88" i="9"/>
  <c r="Z88" i="9" s="1"/>
  <c r="V89" i="9"/>
  <c r="L90" i="9"/>
  <c r="R93" i="9"/>
  <c r="J95" i="9"/>
  <c r="R99" i="9"/>
  <c r="J102" i="9"/>
  <c r="V34" i="10"/>
  <c r="V31" i="10"/>
  <c r="V27" i="10"/>
  <c r="L15" i="10"/>
  <c r="R16" i="10"/>
  <c r="J18" i="10"/>
  <c r="R20" i="10"/>
  <c r="X21" i="10"/>
  <c r="F24" i="10"/>
  <c r="V24" i="10"/>
  <c r="L25" i="10"/>
  <c r="F16" i="11"/>
  <c r="J21" i="11"/>
  <c r="F22" i="11"/>
  <c r="J48" i="12"/>
  <c r="Z79" i="12"/>
  <c r="J108" i="12"/>
  <c r="X109" i="12"/>
  <c r="L111" i="12"/>
  <c r="P149" i="12"/>
  <c r="X149" i="12" s="1"/>
  <c r="Z149" i="12" s="1"/>
  <c r="X150" i="12"/>
  <c r="Z150" i="12" s="1"/>
  <c r="V28" i="3"/>
  <c r="J32" i="3"/>
  <c r="V36" i="3"/>
  <c r="J40" i="3"/>
  <c r="V44" i="3"/>
  <c r="J48" i="3"/>
  <c r="V52" i="3"/>
  <c r="J56" i="3"/>
  <c r="V68" i="3"/>
  <c r="J72" i="3"/>
  <c r="J76" i="3"/>
  <c r="V80" i="3"/>
  <c r="J84" i="3"/>
  <c r="V88" i="3"/>
  <c r="J90" i="3"/>
  <c r="J96" i="3"/>
  <c r="V100" i="3"/>
  <c r="J102" i="3"/>
  <c r="J108" i="3"/>
  <c r="V112" i="3"/>
  <c r="J114" i="3"/>
  <c r="V120" i="3"/>
  <c r="J122" i="3"/>
  <c r="V124" i="3"/>
  <c r="V128" i="3"/>
  <c r="V132" i="3"/>
  <c r="J136" i="3"/>
  <c r="J140" i="3"/>
  <c r="J144" i="3"/>
  <c r="V148" i="3"/>
  <c r="V152" i="3"/>
  <c r="V156" i="3"/>
  <c r="V160" i="3"/>
  <c r="J165" i="3"/>
  <c r="J180" i="3"/>
  <c r="R16" i="4"/>
  <c r="J15" i="5"/>
  <c r="H18" i="5"/>
  <c r="J25" i="5"/>
  <c r="R27" i="5"/>
  <c r="J29" i="5"/>
  <c r="R31" i="5"/>
  <c r="J33" i="5"/>
  <c r="D16" i="6"/>
  <c r="F27" i="7"/>
  <c r="V27" i="7"/>
  <c r="F31" i="7"/>
  <c r="V31" i="7"/>
  <c r="R16" i="8"/>
  <c r="F16" i="9"/>
  <c r="V16" i="9"/>
  <c r="J22" i="9"/>
  <c r="F23" i="9"/>
  <c r="V26" i="9"/>
  <c r="R27" i="9"/>
  <c r="J30" i="9"/>
  <c r="J34" i="9"/>
  <c r="F35" i="9"/>
  <c r="V38" i="9"/>
  <c r="R39" i="9"/>
  <c r="F42" i="9"/>
  <c r="V42" i="9"/>
  <c r="R43" i="9"/>
  <c r="J44" i="9"/>
  <c r="F47" i="9"/>
  <c r="R48" i="9"/>
  <c r="J50" i="9"/>
  <c r="V54" i="9"/>
  <c r="J58" i="9"/>
  <c r="V62" i="9"/>
  <c r="V66" i="9"/>
  <c r="R67" i="9"/>
  <c r="J68" i="9"/>
  <c r="V70" i="9"/>
  <c r="R71" i="9"/>
  <c r="V74" i="9"/>
  <c r="R75" i="9"/>
  <c r="J76" i="9"/>
  <c r="F79" i="9"/>
  <c r="V82" i="9"/>
  <c r="R83" i="9"/>
  <c r="F91" i="9"/>
  <c r="X12" i="10"/>
  <c r="F27" i="10"/>
  <c r="V29" i="10"/>
  <c r="F33" i="10"/>
  <c r="J34" i="10"/>
  <c r="F36" i="10"/>
  <c r="J24" i="11"/>
  <c r="N93" i="12"/>
  <c r="J100" i="12"/>
  <c r="Z109" i="12"/>
  <c r="N111" i="12"/>
  <c r="J128" i="12"/>
  <c r="X129" i="12"/>
  <c r="Z129" i="12" s="1"/>
  <c r="L149" i="12"/>
  <c r="N149" i="12" s="1"/>
  <c r="X33" i="13"/>
  <c r="V15" i="11"/>
  <c r="T18" i="11"/>
  <c r="R21" i="11"/>
  <c r="V25" i="11"/>
  <c r="V29" i="11"/>
  <c r="V33" i="11"/>
  <c r="V36" i="11"/>
  <c r="V21" i="12"/>
  <c r="V29" i="12"/>
  <c r="V37" i="12"/>
  <c r="V45" i="12"/>
  <c r="T52" i="12"/>
  <c r="V61" i="12"/>
  <c r="V73" i="12"/>
  <c r="V77" i="12"/>
  <c r="V89" i="12"/>
  <c r="V101" i="12"/>
  <c r="V109" i="12"/>
  <c r="V113" i="12"/>
  <c r="V117" i="12"/>
  <c r="V121" i="12"/>
  <c r="V129" i="12"/>
  <c r="L12" i="13"/>
  <c r="F15" i="13"/>
  <c r="V15" i="13"/>
  <c r="D18" i="13"/>
  <c r="T18" i="13"/>
  <c r="R21" i="13"/>
  <c r="F25" i="13"/>
  <c r="V25" i="13"/>
  <c r="F29" i="13"/>
  <c r="V29" i="13"/>
  <c r="F33" i="13"/>
  <c r="V33" i="13"/>
  <c r="F36" i="13"/>
  <c r="V36" i="13"/>
  <c r="J16" i="14"/>
  <c r="R18" i="14"/>
  <c r="J20" i="14"/>
  <c r="V22" i="14"/>
  <c r="D12" i="15"/>
  <c r="V20" i="15"/>
  <c r="V24" i="15"/>
  <c r="V18" i="11"/>
  <c r="R24" i="11"/>
  <c r="V22" i="12"/>
  <c r="V30" i="12"/>
  <c r="V38" i="12"/>
  <c r="V46" i="12"/>
  <c r="V62" i="12"/>
  <c r="V66" i="12"/>
  <c r="V74" i="12"/>
  <c r="V78" i="12"/>
  <c r="V86" i="12"/>
  <c r="V90" i="12"/>
  <c r="V98" i="12"/>
  <c r="V102" i="12"/>
  <c r="V110" i="12"/>
  <c r="V114" i="12"/>
  <c r="V118" i="12"/>
  <c r="V122" i="12"/>
  <c r="V126" i="12"/>
  <c r="V130" i="12"/>
  <c r="V142" i="12"/>
  <c r="V146" i="12"/>
  <c r="V150" i="12"/>
  <c r="V158" i="12"/>
  <c r="F18" i="13"/>
  <c r="V18" i="13"/>
  <c r="R24" i="13"/>
  <c r="V15" i="14"/>
  <c r="T18" i="14"/>
  <c r="R21" i="14"/>
  <c r="V25" i="14"/>
  <c r="V29" i="14"/>
  <c r="V33" i="14"/>
  <c r="V21" i="11"/>
  <c r="R27" i="11"/>
  <c r="R31" i="11"/>
  <c r="R34" i="11"/>
  <c r="V23" i="12"/>
  <c r="V31" i="12"/>
  <c r="V39" i="12"/>
  <c r="V47" i="12"/>
  <c r="V55" i="12"/>
  <c r="V63" i="12"/>
  <c r="V67" i="12"/>
  <c r="V75" i="12"/>
  <c r="V83" i="12"/>
  <c r="V87" i="12"/>
  <c r="V95" i="12"/>
  <c r="V99" i="12"/>
  <c r="V107" i="12"/>
  <c r="V115" i="12"/>
  <c r="V119" i="12"/>
  <c r="V123" i="12"/>
  <c r="V127" i="12"/>
  <c r="V131" i="12"/>
  <c r="V143" i="12"/>
  <c r="V147" i="12"/>
  <c r="V153" i="12"/>
  <c r="F21" i="13"/>
  <c r="V21" i="13"/>
  <c r="R27" i="13"/>
  <c r="R31" i="13"/>
  <c r="R34" i="13"/>
  <c r="V18" i="14"/>
  <c r="R24" i="14"/>
  <c r="R16" i="11"/>
  <c r="R20" i="11"/>
  <c r="V24" i="12"/>
  <c r="V32" i="12"/>
  <c r="V40" i="12"/>
  <c r="V48" i="12"/>
  <c r="V56" i="12"/>
  <c r="V64" i="12"/>
  <c r="V68" i="12"/>
  <c r="V76" i="12"/>
  <c r="V84" i="12"/>
  <c r="V88" i="12"/>
  <c r="V96" i="12"/>
  <c r="V100" i="12"/>
  <c r="V108" i="12"/>
  <c r="V120" i="12"/>
  <c r="V124" i="12"/>
  <c r="V128" i="12"/>
  <c r="V132" i="12"/>
  <c r="V140" i="12"/>
  <c r="V144" i="12"/>
  <c r="R16" i="13"/>
  <c r="R20" i="13"/>
  <c r="F24" i="13"/>
  <c r="V24" i="13"/>
  <c r="H18" i="14"/>
  <c r="V21" i="14"/>
  <c r="R27" i="14"/>
  <c r="J29" i="14"/>
  <c r="R31" i="14"/>
  <c r="J33" i="14"/>
  <c r="R36" i="14"/>
  <c r="V144" i="15"/>
  <c r="V138" i="15"/>
  <c r="V134" i="15"/>
  <c r="V130" i="15"/>
  <c r="V126" i="15"/>
  <c r="V122" i="15"/>
  <c r="V118" i="15"/>
  <c r="V114" i="15"/>
  <c r="V110" i="15"/>
  <c r="V102" i="15"/>
  <c r="V149" i="15"/>
  <c r="V141" i="15"/>
  <c r="V137" i="15"/>
  <c r="V133" i="15"/>
  <c r="V125" i="15"/>
  <c r="V121" i="15"/>
  <c r="V117" i="15"/>
  <c r="V113" i="15"/>
  <c r="V109" i="15"/>
  <c r="V105" i="15"/>
  <c r="V143" i="15"/>
  <c r="V123" i="15"/>
  <c r="V111" i="15"/>
  <c r="V107" i="15"/>
  <c r="V140" i="15"/>
  <c r="V106" i="15"/>
  <c r="V98" i="15"/>
  <c r="V145" i="15"/>
  <c r="V129" i="15"/>
  <c r="V101" i="15"/>
  <c r="V135" i="15"/>
  <c r="V131" i="15"/>
  <c r="V127" i="15"/>
  <c r="V119" i="15"/>
  <c r="V115" i="15"/>
  <c r="V103" i="15"/>
  <c r="V132" i="15"/>
  <c r="V89" i="15"/>
  <c r="V77" i="15"/>
  <c r="V69" i="15"/>
  <c r="V57" i="15"/>
  <c r="V41" i="15"/>
  <c r="V33" i="15"/>
  <c r="V25" i="15"/>
  <c r="V88" i="15"/>
  <c r="V76" i="15"/>
  <c r="V68" i="15"/>
  <c r="V56" i="15"/>
  <c r="V128" i="15"/>
  <c r="V91" i="15"/>
  <c r="V79" i="15"/>
  <c r="V67" i="15"/>
  <c r="V55" i="15"/>
  <c r="V51" i="15"/>
  <c r="V47" i="15"/>
  <c r="V39" i="15"/>
  <c r="V31" i="15"/>
  <c r="V23" i="15"/>
  <c r="V100" i="15"/>
  <c r="V94" i="15"/>
  <c r="V90" i="15"/>
  <c r="V82" i="15"/>
  <c r="V78" i="15"/>
  <c r="V66" i="15"/>
  <c r="V62" i="15"/>
  <c r="V54" i="15"/>
  <c r="V46" i="15"/>
  <c r="V38" i="15"/>
  <c r="V30" i="15"/>
  <c r="V142" i="15"/>
  <c r="V136" i="15"/>
  <c r="V104" i="15"/>
  <c r="V99" i="15"/>
  <c r="V93" i="15"/>
  <c r="V85" i="15"/>
  <c r="V81" i="15"/>
  <c r="V73" i="15"/>
  <c r="V65" i="15"/>
  <c r="V61" i="15"/>
  <c r="V53" i="15"/>
  <c r="V45" i="15"/>
  <c r="V37" i="15"/>
  <c r="V29" i="15"/>
  <c r="V21" i="15"/>
  <c r="V120" i="15"/>
  <c r="V108" i="15"/>
  <c r="V97" i="15"/>
  <c r="V96" i="15"/>
  <c r="V92" i="15"/>
  <c r="V84" i="15"/>
  <c r="V80" i="15"/>
  <c r="V72" i="15"/>
  <c r="V64" i="15"/>
  <c r="V60" i="15"/>
  <c r="V52" i="15"/>
  <c r="V44" i="15"/>
  <c r="V36" i="15"/>
  <c r="V28" i="15"/>
  <c r="V124" i="15"/>
  <c r="V116" i="15"/>
  <c r="V112" i="15"/>
  <c r="V95" i="15"/>
  <c r="V87" i="15"/>
  <c r="V83" i="15"/>
  <c r="V75" i="15"/>
  <c r="V71" i="15"/>
  <c r="V63" i="15"/>
  <c r="V59" i="15"/>
  <c r="V43" i="15"/>
  <c r="V35" i="15"/>
  <c r="V27" i="15"/>
  <c r="V86" i="15"/>
  <c r="V74" i="15"/>
  <c r="V70" i="15"/>
  <c r="V58" i="15"/>
  <c r="T49" i="15"/>
  <c r="V42" i="15"/>
  <c r="V34" i="15"/>
  <c r="V26" i="15"/>
  <c r="V22" i="15"/>
  <c r="V49" i="12"/>
  <c r="V57" i="12"/>
  <c r="V65" i="12"/>
  <c r="V69" i="12"/>
  <c r="V81" i="12"/>
  <c r="V85" i="12"/>
  <c r="V93" i="12"/>
  <c r="V97" i="12"/>
  <c r="V105" i="12"/>
  <c r="V125" i="12"/>
  <c r="V133" i="12"/>
  <c r="V137" i="12"/>
  <c r="V141" i="12"/>
  <c r="V145" i="12"/>
  <c r="V151" i="12"/>
  <c r="F27" i="13"/>
  <c r="V27" i="13"/>
  <c r="F31" i="13"/>
  <c r="V31" i="13"/>
  <c r="R16" i="14"/>
  <c r="R20" i="14"/>
  <c r="V24" i="14"/>
  <c r="V34" i="14"/>
  <c r="V50" i="12"/>
  <c r="V54" i="12"/>
  <c r="V58" i="12"/>
  <c r="V70" i="12"/>
  <c r="V82" i="12"/>
  <c r="V94" i="12"/>
  <c r="V106" i="12"/>
  <c r="V134" i="12"/>
  <c r="V138" i="12"/>
  <c r="V154" i="12"/>
  <c r="V27" i="14"/>
  <c r="V31" i="14"/>
  <c r="X14" i="15"/>
  <c r="Z14" i="15" s="1"/>
  <c r="P12" i="15"/>
  <c r="R29" i="11"/>
  <c r="R33" i="11"/>
  <c r="V35" i="12"/>
  <c r="V43" i="12"/>
  <c r="V59" i="12"/>
  <c r="V71" i="12"/>
  <c r="V79" i="12"/>
  <c r="V91" i="12"/>
  <c r="V103" i="12"/>
  <c r="V111" i="12"/>
  <c r="V135" i="12"/>
  <c r="V139" i="12"/>
  <c r="P18" i="13"/>
  <c r="R25" i="13"/>
  <c r="R29" i="13"/>
  <c r="R33" i="13"/>
  <c r="Z12" i="14"/>
  <c r="V16" i="14"/>
  <c r="V20" i="14"/>
  <c r="R22" i="14"/>
  <c r="V32" i="15"/>
  <c r="Z74" i="15"/>
  <c r="J143" i="15"/>
  <c r="J120" i="15"/>
  <c r="J116" i="15"/>
  <c r="J104" i="15"/>
  <c r="J129" i="15"/>
  <c r="J123" i="15"/>
  <c r="J111" i="15"/>
  <c r="J101" i="15"/>
  <c r="J145" i="15"/>
  <c r="J140" i="15"/>
  <c r="J136" i="15"/>
  <c r="J132" i="15"/>
  <c r="J142" i="15"/>
  <c r="J135" i="15"/>
  <c r="J131" i="15"/>
  <c r="J127" i="15"/>
  <c r="J119" i="15"/>
  <c r="J115" i="15"/>
  <c r="J103" i="15"/>
  <c r="J138" i="15"/>
  <c r="J134" i="15"/>
  <c r="J126" i="15"/>
  <c r="J122" i="15"/>
  <c r="J118" i="15"/>
  <c r="J114" i="15"/>
  <c r="J110" i="15"/>
  <c r="J100" i="15"/>
  <c r="J149" i="15"/>
  <c r="J144" i="15"/>
  <c r="J125" i="15"/>
  <c r="J121" i="15"/>
  <c r="J117" i="15"/>
  <c r="J113" i="15"/>
  <c r="J109" i="15"/>
  <c r="J105" i="15"/>
  <c r="J137" i="15"/>
  <c r="J133" i="15"/>
  <c r="J107" i="15"/>
  <c r="J22" i="15"/>
  <c r="J30" i="15"/>
  <c r="J38" i="15"/>
  <c r="J46" i="15"/>
  <c r="J54" i="15"/>
  <c r="J62" i="15"/>
  <c r="J66" i="15"/>
  <c r="J76" i="15"/>
  <c r="J82" i="15"/>
  <c r="J88" i="15"/>
  <c r="J94" i="15"/>
  <c r="J98" i="15"/>
  <c r="J99" i="15"/>
  <c r="J102" i="15"/>
  <c r="Z116" i="15"/>
  <c r="Z57" i="18"/>
  <c r="Z58" i="18"/>
  <c r="Z80" i="18"/>
  <c r="V94" i="18"/>
  <c r="Z98" i="18"/>
  <c r="Z104" i="18"/>
  <c r="N106" i="18"/>
  <c r="V134" i="18"/>
  <c r="Z146" i="18"/>
  <c r="N20" i="19"/>
  <c r="L20" i="19"/>
  <c r="N34" i="20"/>
  <c r="L34" i="20"/>
  <c r="L15" i="21"/>
  <c r="D12" i="21"/>
  <c r="Z50" i="21"/>
  <c r="Z22" i="23"/>
  <c r="X22" i="23"/>
  <c r="L54" i="24"/>
  <c r="N54" i="24" s="1"/>
  <c r="J23" i="15"/>
  <c r="J31" i="15"/>
  <c r="J39" i="15"/>
  <c r="J47" i="15"/>
  <c r="J55" i="15"/>
  <c r="J67" i="15"/>
  <c r="J79" i="15"/>
  <c r="J91" i="15"/>
  <c r="L111" i="15"/>
  <c r="N111" i="15" s="1"/>
  <c r="Z120" i="15"/>
  <c r="N123" i="15"/>
  <c r="J130" i="15"/>
  <c r="N140" i="15"/>
  <c r="V142" i="18"/>
  <c r="Z25" i="21"/>
  <c r="Z15" i="22"/>
  <c r="X15" i="22"/>
  <c r="Z29" i="22"/>
  <c r="X29" i="22"/>
  <c r="D12" i="24"/>
  <c r="X52" i="24"/>
  <c r="Z52" i="24" s="1"/>
  <c r="F36" i="35"/>
  <c r="F33" i="35"/>
  <c r="F29" i="35"/>
  <c r="F25" i="35"/>
  <c r="D18" i="35"/>
  <c r="F15" i="35"/>
  <c r="L12" i="35"/>
  <c r="F34" i="35"/>
  <c r="F31" i="35"/>
  <c r="F27" i="35"/>
  <c r="F20" i="35"/>
  <c r="F22" i="35"/>
  <c r="F18" i="35"/>
  <c r="F21" i="35"/>
  <c r="F16" i="35"/>
  <c r="F24" i="35"/>
  <c r="J32" i="15"/>
  <c r="J40" i="15"/>
  <c r="H49" i="15"/>
  <c r="J56" i="15"/>
  <c r="J68" i="15"/>
  <c r="J74" i="15"/>
  <c r="J86" i="15"/>
  <c r="J128" i="15"/>
  <c r="V62" i="18"/>
  <c r="V82" i="18"/>
  <c r="N92" i="18"/>
  <c r="N136" i="18"/>
  <c r="J25" i="15"/>
  <c r="J33" i="15"/>
  <c r="J41" i="15"/>
  <c r="J49" i="15"/>
  <c r="J57" i="15"/>
  <c r="J63" i="15"/>
  <c r="J69" i="15"/>
  <c r="J77" i="15"/>
  <c r="J83" i="15"/>
  <c r="J89" i="15"/>
  <c r="J95" i="15"/>
  <c r="Z123" i="15"/>
  <c r="Z13" i="16"/>
  <c r="X13" i="16"/>
  <c r="V30" i="18"/>
  <c r="V46" i="18"/>
  <c r="Z86" i="18"/>
  <c r="V106" i="18"/>
  <c r="Z110" i="18"/>
  <c r="N112" i="18"/>
  <c r="N55" i="21"/>
  <c r="L61" i="21"/>
  <c r="N61" i="21" s="1"/>
  <c r="Z25" i="22"/>
  <c r="X25" i="22"/>
  <c r="F82" i="27"/>
  <c r="F75" i="27"/>
  <c r="F47" i="27"/>
  <c r="F43" i="27"/>
  <c r="F35" i="27"/>
  <c r="F27" i="27"/>
  <c r="F19" i="27"/>
  <c r="F78" i="27"/>
  <c r="F74" i="27"/>
  <c r="F65" i="27"/>
  <c r="F62" i="27"/>
  <c r="F57" i="27"/>
  <c r="F54" i="27"/>
  <c r="F46" i="27"/>
  <c r="F42" i="27"/>
  <c r="F34" i="27"/>
  <c r="F26" i="27"/>
  <c r="F84" i="27"/>
  <c r="F77" i="27"/>
  <c r="F53" i="27"/>
  <c r="F45" i="27"/>
  <c r="F41" i="27"/>
  <c r="F32" i="27"/>
  <c r="F25" i="27"/>
  <c r="F81" i="27"/>
  <c r="F71" i="27"/>
  <c r="F67" i="27"/>
  <c r="F64" i="27"/>
  <c r="F59" i="27"/>
  <c r="F56" i="27"/>
  <c r="F52" i="27"/>
  <c r="F40" i="27"/>
  <c r="F24" i="27"/>
  <c r="F51" i="27"/>
  <c r="F39" i="27"/>
  <c r="F23" i="27"/>
  <c r="F18" i="27"/>
  <c r="F88" i="27"/>
  <c r="F83" i="27"/>
  <c r="F73" i="27"/>
  <c r="F70" i="27"/>
  <c r="F66" i="27"/>
  <c r="F61" i="27"/>
  <c r="F58" i="27"/>
  <c r="F50" i="27"/>
  <c r="F38" i="27"/>
  <c r="F33" i="27"/>
  <c r="F22" i="27"/>
  <c r="F72" i="27"/>
  <c r="F68" i="27"/>
  <c r="F63" i="27"/>
  <c r="F60" i="27"/>
  <c r="F55" i="27"/>
  <c r="F48" i="27"/>
  <c r="F36" i="27"/>
  <c r="D30" i="27"/>
  <c r="F28" i="27"/>
  <c r="F20" i="27"/>
  <c r="L12" i="27"/>
  <c r="N12" i="27" s="1"/>
  <c r="F44" i="27"/>
  <c r="F21" i="27"/>
  <c r="F37" i="27"/>
  <c r="F76" i="27"/>
  <c r="F69" i="27"/>
  <c r="F49" i="27"/>
  <c r="Z16" i="34"/>
  <c r="X16" i="34"/>
  <c r="J34" i="15"/>
  <c r="J42" i="15"/>
  <c r="J52" i="15"/>
  <c r="J58" i="15"/>
  <c r="J70" i="15"/>
  <c r="J80" i="15"/>
  <c r="L83" i="15"/>
  <c r="J92" i="15"/>
  <c r="L95" i="15"/>
  <c r="N95" i="15" s="1"/>
  <c r="Z111" i="15"/>
  <c r="Z24" i="21"/>
  <c r="Z59" i="21"/>
  <c r="X59" i="21"/>
  <c r="J24" i="22"/>
  <c r="J21" i="22"/>
  <c r="J18" i="22"/>
  <c r="J36" i="22"/>
  <c r="J33" i="22"/>
  <c r="J29" i="22"/>
  <c r="J25" i="22"/>
  <c r="H18" i="22"/>
  <c r="J15" i="22"/>
  <c r="J22" i="22"/>
  <c r="N12" i="22"/>
  <c r="J34" i="22"/>
  <c r="J31" i="22"/>
  <c r="J27" i="22"/>
  <c r="J20" i="22"/>
  <c r="F34" i="23"/>
  <c r="F31" i="23"/>
  <c r="F27" i="23"/>
  <c r="F24" i="23"/>
  <c r="F21" i="23"/>
  <c r="F18" i="23"/>
  <c r="F36" i="23"/>
  <c r="F33" i="23"/>
  <c r="F29" i="23"/>
  <c r="F25" i="23"/>
  <c r="D18" i="23"/>
  <c r="F15" i="23"/>
  <c r="L12" i="23"/>
  <c r="F22" i="23"/>
  <c r="F20" i="23"/>
  <c r="F16" i="23"/>
  <c r="N65" i="24"/>
  <c r="J27" i="15"/>
  <c r="J35" i="15"/>
  <c r="J43" i="15"/>
  <c r="J59" i="15"/>
  <c r="J71" i="15"/>
  <c r="J75" i="15"/>
  <c r="J87" i="15"/>
  <c r="N106" i="15"/>
  <c r="X16" i="16"/>
  <c r="L57" i="18"/>
  <c r="N57" i="18" s="1"/>
  <c r="N16" i="19"/>
  <c r="L16" i="19"/>
  <c r="Z22" i="19"/>
  <c r="X22" i="19"/>
  <c r="N17" i="21"/>
  <c r="L17" i="21"/>
  <c r="J17" i="21"/>
  <c r="H22" i="21"/>
  <c r="T92" i="21"/>
  <c r="J16" i="22"/>
  <c r="N16" i="23"/>
  <c r="L16" i="23"/>
  <c r="H84" i="24"/>
  <c r="D80" i="27"/>
  <c r="L80" i="27" s="1"/>
  <c r="N80" i="27" s="1"/>
  <c r="L83" i="27"/>
  <c r="X84" i="27"/>
  <c r="P80" i="27"/>
  <c r="X80" i="27" s="1"/>
  <c r="Z80" i="27" s="1"/>
  <c r="J60" i="15"/>
  <c r="J64" i="15"/>
  <c r="J72" i="15"/>
  <c r="J78" i="15"/>
  <c r="J84" i="15"/>
  <c r="J90" i="15"/>
  <c r="J96" i="15"/>
  <c r="J97" i="15"/>
  <c r="J106" i="15"/>
  <c r="J124" i="15"/>
  <c r="J141" i="15"/>
  <c r="V18" i="17"/>
  <c r="V36" i="17"/>
  <c r="V33" i="17"/>
  <c r="V29" i="17"/>
  <c r="V25" i="17"/>
  <c r="T18" i="17"/>
  <c r="V15" i="17"/>
  <c r="V22" i="17"/>
  <c r="V20" i="17"/>
  <c r="V16" i="17"/>
  <c r="Z12" i="17"/>
  <c r="V34" i="17"/>
  <c r="V31" i="17"/>
  <c r="V27" i="17"/>
  <c r="V21" i="17"/>
  <c r="V150" i="18"/>
  <c r="V144" i="18"/>
  <c r="V140" i="18"/>
  <c r="V136" i="18"/>
  <c r="V132" i="18"/>
  <c r="V128" i="18"/>
  <c r="V124" i="18"/>
  <c r="V120" i="18"/>
  <c r="V116" i="18"/>
  <c r="V108" i="18"/>
  <c r="V100" i="18"/>
  <c r="V96" i="18"/>
  <c r="V88" i="18"/>
  <c r="V84" i="18"/>
  <c r="V72" i="18"/>
  <c r="V68" i="18"/>
  <c r="V60" i="18"/>
  <c r="V52" i="18"/>
  <c r="V44" i="18"/>
  <c r="V36" i="18"/>
  <c r="V28" i="18"/>
  <c r="V20" i="18"/>
  <c r="V147" i="18"/>
  <c r="V143" i="18"/>
  <c r="V139" i="18"/>
  <c r="V131" i="18"/>
  <c r="V127" i="18"/>
  <c r="V123" i="18"/>
  <c r="V119" i="18"/>
  <c r="V115" i="18"/>
  <c r="V111" i="18"/>
  <c r="V103" i="18"/>
  <c r="V99" i="18"/>
  <c r="V91" i="18"/>
  <c r="V87" i="18"/>
  <c r="V79" i="18"/>
  <c r="V71" i="18"/>
  <c r="V67" i="18"/>
  <c r="V59" i="18"/>
  <c r="V51" i="18"/>
  <c r="V43" i="18"/>
  <c r="V35" i="18"/>
  <c r="V27" i="18"/>
  <c r="V152" i="18"/>
  <c r="V130" i="18"/>
  <c r="V126" i="18"/>
  <c r="V122" i="18"/>
  <c r="V118" i="18"/>
  <c r="V114" i="18"/>
  <c r="V110" i="18"/>
  <c r="V102" i="18"/>
  <c r="V98" i="18"/>
  <c r="V90" i="18"/>
  <c r="V86" i="18"/>
  <c r="V78" i="18"/>
  <c r="V70" i="18"/>
  <c r="V66" i="18"/>
  <c r="V58" i="18"/>
  <c r="V50" i="18"/>
  <c r="V42" i="18"/>
  <c r="V34" i="18"/>
  <c r="V26" i="18"/>
  <c r="V157" i="18"/>
  <c r="V149" i="18"/>
  <c r="V129" i="18"/>
  <c r="V117" i="18"/>
  <c r="V113" i="18"/>
  <c r="V105" i="18"/>
  <c r="V101" i="18"/>
  <c r="V93" i="18"/>
  <c r="V89" i="18"/>
  <c r="V81" i="18"/>
  <c r="V77" i="18"/>
  <c r="V69" i="18"/>
  <c r="V65" i="18"/>
  <c r="V49" i="18"/>
  <c r="V41" i="18"/>
  <c r="V33" i="18"/>
  <c r="V25" i="18"/>
  <c r="V146" i="18"/>
  <c r="V112" i="18"/>
  <c r="V104" i="18"/>
  <c r="V92" i="18"/>
  <c r="V80" i="18"/>
  <c r="V76" i="18"/>
  <c r="V64" i="18"/>
  <c r="T55" i="18"/>
  <c r="V48" i="18"/>
  <c r="V40" i="18"/>
  <c r="V32" i="18"/>
  <c r="V24" i="18"/>
  <c r="V151" i="18"/>
  <c r="V135" i="18"/>
  <c r="V107" i="18"/>
  <c r="V95" i="18"/>
  <c r="V83" i="18"/>
  <c r="V75" i="18"/>
  <c r="V63" i="18"/>
  <c r="V47" i="18"/>
  <c r="V39" i="18"/>
  <c r="V31" i="18"/>
  <c r="V23" i="18"/>
  <c r="V153" i="18"/>
  <c r="V141" i="18"/>
  <c r="V137" i="18"/>
  <c r="V133" i="18"/>
  <c r="V125" i="18"/>
  <c r="V121" i="18"/>
  <c r="V109" i="18"/>
  <c r="V97" i="18"/>
  <c r="V85" i="18"/>
  <c r="V73" i="18"/>
  <c r="V61" i="18"/>
  <c r="V57" i="18"/>
  <c r="V53" i="18"/>
  <c r="V45" i="18"/>
  <c r="V37" i="18"/>
  <c r="V29" i="18"/>
  <c r="V21" i="18"/>
  <c r="V22" i="18"/>
  <c r="Z112" i="18"/>
  <c r="Z122" i="18"/>
  <c r="Z83" i="21"/>
  <c r="X83" i="21"/>
  <c r="N20" i="23"/>
  <c r="L20" i="23"/>
  <c r="H75" i="33"/>
  <c r="J29" i="15"/>
  <c r="J37" i="15"/>
  <c r="J45" i="15"/>
  <c r="J51" i="15"/>
  <c r="J53" i="15"/>
  <c r="J61" i="15"/>
  <c r="J65" i="15"/>
  <c r="J73" i="15"/>
  <c r="J81" i="15"/>
  <c r="J85" i="15"/>
  <c r="J93" i="15"/>
  <c r="N98" i="15"/>
  <c r="J108" i="15"/>
  <c r="J112" i="15"/>
  <c r="V38" i="18"/>
  <c r="V74" i="18"/>
  <c r="N82" i="18"/>
  <c r="V138" i="18"/>
  <c r="F34" i="19"/>
  <c r="F31" i="19"/>
  <c r="F27" i="19"/>
  <c r="F24" i="19"/>
  <c r="F21" i="19"/>
  <c r="F18" i="19"/>
  <c r="F36" i="19"/>
  <c r="F33" i="19"/>
  <c r="F29" i="19"/>
  <c r="F25" i="19"/>
  <c r="D18" i="19"/>
  <c r="F15" i="19"/>
  <c r="L12" i="19"/>
  <c r="F22" i="19"/>
  <c r="F20" i="19"/>
  <c r="F16" i="19"/>
  <c r="N25" i="21"/>
  <c r="L25" i="21"/>
  <c r="Z33" i="22"/>
  <c r="X33" i="22"/>
  <c r="L14" i="36"/>
  <c r="D12" i="36"/>
  <c r="P140" i="15"/>
  <c r="X140" i="15" s="1"/>
  <c r="Z140" i="15" s="1"/>
  <c r="R16" i="16"/>
  <c r="J18" i="16"/>
  <c r="R20" i="16"/>
  <c r="F24" i="16"/>
  <c r="V24" i="16"/>
  <c r="J15" i="17"/>
  <c r="H18" i="17"/>
  <c r="F21" i="17"/>
  <c r="J25" i="17"/>
  <c r="R27" i="17"/>
  <c r="J29" i="17"/>
  <c r="R31" i="17"/>
  <c r="J33" i="17"/>
  <c r="R34" i="17"/>
  <c r="J36" i="17"/>
  <c r="P12" i="18"/>
  <c r="J25" i="18"/>
  <c r="J33" i="18"/>
  <c r="J41" i="18"/>
  <c r="J49" i="18"/>
  <c r="J65" i="18"/>
  <c r="J77" i="18"/>
  <c r="J81" i="18"/>
  <c r="J93" i="18"/>
  <c r="J105" i="18"/>
  <c r="J113" i="18"/>
  <c r="J139" i="18"/>
  <c r="J143" i="18"/>
  <c r="J152" i="18"/>
  <c r="J157" i="18"/>
  <c r="F34" i="20"/>
  <c r="R26" i="21"/>
  <c r="R34" i="21"/>
  <c r="J35" i="21"/>
  <c r="R38" i="21"/>
  <c r="J41" i="21"/>
  <c r="V45" i="21"/>
  <c r="J49" i="21"/>
  <c r="V53" i="21"/>
  <c r="R54" i="21"/>
  <c r="J55" i="21"/>
  <c r="R59" i="21"/>
  <c r="V61" i="21"/>
  <c r="R62" i="21"/>
  <c r="J63" i="21"/>
  <c r="V65" i="21"/>
  <c r="J69" i="21"/>
  <c r="J73" i="21"/>
  <c r="V77" i="21"/>
  <c r="R83" i="21"/>
  <c r="R15" i="22"/>
  <c r="P18" i="22"/>
  <c r="R25" i="22"/>
  <c r="R29" i="22"/>
  <c r="R33" i="22"/>
  <c r="R36" i="22"/>
  <c r="V16" i="23"/>
  <c r="V20" i="23"/>
  <c r="V18" i="24"/>
  <c r="V26" i="24"/>
  <c r="V34" i="24"/>
  <c r="J42" i="24"/>
  <c r="V46" i="24"/>
  <c r="J50" i="24"/>
  <c r="V54" i="24"/>
  <c r="J56" i="24"/>
  <c r="J62" i="24"/>
  <c r="V68" i="24"/>
  <c r="Z24" i="25"/>
  <c r="X24" i="25"/>
  <c r="X33" i="27"/>
  <c r="Z33" i="27" s="1"/>
  <c r="L55" i="27"/>
  <c r="N55" i="27" s="1"/>
  <c r="Z61" i="27"/>
  <c r="X61" i="27"/>
  <c r="V18" i="28"/>
  <c r="V36" i="28"/>
  <c r="V33" i="28"/>
  <c r="V29" i="28"/>
  <c r="V25" i="28"/>
  <c r="T18" i="28"/>
  <c r="V15" i="28"/>
  <c r="V22" i="28"/>
  <c r="V20" i="28"/>
  <c r="V16" i="28"/>
  <c r="Z12" i="28"/>
  <c r="V34" i="28"/>
  <c r="V31" i="28"/>
  <c r="V27" i="28"/>
  <c r="X12" i="28"/>
  <c r="V21" i="28"/>
  <c r="N21" i="28"/>
  <c r="L21" i="28"/>
  <c r="R21" i="29"/>
  <c r="R18" i="29"/>
  <c r="R36" i="29"/>
  <c r="R33" i="29"/>
  <c r="R29" i="29"/>
  <c r="R25" i="29"/>
  <c r="P18" i="29"/>
  <c r="R15" i="29"/>
  <c r="R22" i="29"/>
  <c r="X12" i="29"/>
  <c r="R20" i="29"/>
  <c r="R16" i="29"/>
  <c r="R24" i="29"/>
  <c r="P12" i="30"/>
  <c r="X42" i="30"/>
  <c r="Z42" i="30" s="1"/>
  <c r="Z24" i="33"/>
  <c r="Z48" i="33"/>
  <c r="F68" i="33"/>
  <c r="X22" i="34"/>
  <c r="Z12" i="16"/>
  <c r="F16" i="16"/>
  <c r="V16" i="16"/>
  <c r="F20" i="16"/>
  <c r="V20" i="16"/>
  <c r="R22" i="16"/>
  <c r="J24" i="16"/>
  <c r="X34" i="16"/>
  <c r="X12" i="17"/>
  <c r="J21" i="17"/>
  <c r="F27" i="17"/>
  <c r="F31" i="17"/>
  <c r="F34" i="17"/>
  <c r="L20" i="18"/>
  <c r="N20" i="18" s="1"/>
  <c r="J27" i="18"/>
  <c r="J35" i="18"/>
  <c r="J43" i="18"/>
  <c r="J51" i="18"/>
  <c r="J57" i="18"/>
  <c r="J59" i="18"/>
  <c r="J67" i="18"/>
  <c r="J71" i="18"/>
  <c r="J79" i="18"/>
  <c r="X82" i="18"/>
  <c r="Z82" i="18" s="1"/>
  <c r="L84" i="18"/>
  <c r="N84" i="18" s="1"/>
  <c r="J87" i="18"/>
  <c r="J91" i="18"/>
  <c r="X94" i="18"/>
  <c r="Z94" i="18" s="1"/>
  <c r="L96" i="18"/>
  <c r="N96" i="18" s="1"/>
  <c r="J99" i="18"/>
  <c r="J103" i="18"/>
  <c r="X106" i="18"/>
  <c r="Z106" i="18" s="1"/>
  <c r="L108" i="18"/>
  <c r="J111" i="18"/>
  <c r="J115" i="18"/>
  <c r="J119" i="18"/>
  <c r="J123" i="18"/>
  <c r="J127" i="18"/>
  <c r="J131" i="18"/>
  <c r="D146" i="18"/>
  <c r="L146" i="18" s="1"/>
  <c r="N146" i="18" s="1"/>
  <c r="J150" i="18"/>
  <c r="J16" i="19"/>
  <c r="J20" i="19"/>
  <c r="V22" i="19"/>
  <c r="R15" i="20"/>
  <c r="P18" i="20"/>
  <c r="R25" i="20"/>
  <c r="J27" i="20"/>
  <c r="R29" i="20"/>
  <c r="J31" i="20"/>
  <c r="R33" i="20"/>
  <c r="J34" i="20"/>
  <c r="R36" i="20"/>
  <c r="R20" i="21"/>
  <c r="J25" i="21"/>
  <c r="V27" i="21"/>
  <c r="R28" i="21"/>
  <c r="J31" i="21"/>
  <c r="V39" i="21"/>
  <c r="R40" i="21"/>
  <c r="J43" i="21"/>
  <c r="J47" i="21"/>
  <c r="V51" i="21"/>
  <c r="R57" i="21"/>
  <c r="V59" i="21"/>
  <c r="R60" i="21"/>
  <c r="J61" i="21"/>
  <c r="J67" i="21"/>
  <c r="J71" i="21"/>
  <c r="J75" i="21"/>
  <c r="J79" i="21"/>
  <c r="R81" i="21"/>
  <c r="V83" i="21"/>
  <c r="R84" i="21"/>
  <c r="R90" i="21"/>
  <c r="L12" i="22"/>
  <c r="F15" i="22"/>
  <c r="V15" i="22"/>
  <c r="D18" i="22"/>
  <c r="T18" i="22"/>
  <c r="R21" i="22"/>
  <c r="F25" i="22"/>
  <c r="V25" i="22"/>
  <c r="F29" i="22"/>
  <c r="V29" i="22"/>
  <c r="F33" i="22"/>
  <c r="V33" i="22"/>
  <c r="F36" i="22"/>
  <c r="V36" i="22"/>
  <c r="J16" i="23"/>
  <c r="R18" i="23"/>
  <c r="J20" i="23"/>
  <c r="V22" i="23"/>
  <c r="J65" i="24"/>
  <c r="J84" i="24"/>
  <c r="J78" i="24"/>
  <c r="J73" i="24"/>
  <c r="J68" i="24"/>
  <c r="V20" i="24"/>
  <c r="J24" i="24"/>
  <c r="V36" i="24"/>
  <c r="J40" i="24"/>
  <c r="J44" i="24"/>
  <c r="V48" i="24"/>
  <c r="V52" i="24"/>
  <c r="J54" i="24"/>
  <c r="J60" i="24"/>
  <c r="V64" i="24"/>
  <c r="J66" i="24"/>
  <c r="X67" i="24"/>
  <c r="V78" i="24"/>
  <c r="R16" i="25"/>
  <c r="N25" i="26"/>
  <c r="L25" i="26"/>
  <c r="Z73" i="27"/>
  <c r="X24" i="29"/>
  <c r="Z85" i="30"/>
  <c r="N87" i="30"/>
  <c r="X19" i="33"/>
  <c r="L25" i="33"/>
  <c r="N25" i="33" s="1"/>
  <c r="N60" i="33"/>
  <c r="Z68" i="33"/>
  <c r="R15" i="16"/>
  <c r="P18" i="16"/>
  <c r="R25" i="16"/>
  <c r="J27" i="16"/>
  <c r="R29" i="16"/>
  <c r="J31" i="16"/>
  <c r="R33" i="16"/>
  <c r="J34" i="16"/>
  <c r="R36" i="16"/>
  <c r="F16" i="17"/>
  <c r="F20" i="17"/>
  <c r="R22" i="17"/>
  <c r="J24" i="17"/>
  <c r="J28" i="18"/>
  <c r="J36" i="18"/>
  <c r="J44" i="18"/>
  <c r="J52" i="18"/>
  <c r="J60" i="18"/>
  <c r="J68" i="18"/>
  <c r="J72" i="18"/>
  <c r="J82" i="18"/>
  <c r="J88" i="18"/>
  <c r="J94" i="18"/>
  <c r="J100" i="18"/>
  <c r="J106" i="18"/>
  <c r="J116" i="18"/>
  <c r="J120" i="18"/>
  <c r="J124" i="18"/>
  <c r="J128" i="18"/>
  <c r="J132" i="18"/>
  <c r="J140" i="18"/>
  <c r="J144" i="18"/>
  <c r="J153" i="18"/>
  <c r="V15" i="19"/>
  <c r="T18" i="19"/>
  <c r="R21" i="19"/>
  <c r="V25" i="19"/>
  <c r="V29" i="19"/>
  <c r="V33" i="19"/>
  <c r="V36" i="19"/>
  <c r="J16" i="20"/>
  <c r="R18" i="20"/>
  <c r="J20" i="20"/>
  <c r="F22" i="20"/>
  <c r="V22" i="20"/>
  <c r="V20" i="21"/>
  <c r="V24" i="21"/>
  <c r="V28" i="21"/>
  <c r="R29" i="21"/>
  <c r="J32" i="21"/>
  <c r="J36" i="21"/>
  <c r="V40" i="21"/>
  <c r="R41" i="21"/>
  <c r="J44" i="21"/>
  <c r="R46" i="21"/>
  <c r="V48" i="21"/>
  <c r="R49" i="21"/>
  <c r="J50" i="21"/>
  <c r="J56" i="21"/>
  <c r="V60" i="21"/>
  <c r="J64" i="21"/>
  <c r="R66" i="21"/>
  <c r="V68" i="21"/>
  <c r="R69" i="21"/>
  <c r="V72" i="21"/>
  <c r="R73" i="21"/>
  <c r="J76" i="21"/>
  <c r="R78" i="21"/>
  <c r="J80" i="21"/>
  <c r="V84" i="21"/>
  <c r="V88" i="21"/>
  <c r="V90" i="21"/>
  <c r="F18" i="22"/>
  <c r="V18" i="22"/>
  <c r="R24" i="22"/>
  <c r="V15" i="23"/>
  <c r="T18" i="23"/>
  <c r="R21" i="23"/>
  <c r="V25" i="23"/>
  <c r="V29" i="23"/>
  <c r="V33" i="23"/>
  <c r="V36" i="23"/>
  <c r="N17" i="24"/>
  <c r="V21" i="24"/>
  <c r="V37" i="24"/>
  <c r="V41" i="24"/>
  <c r="J45" i="24"/>
  <c r="V49" i="24"/>
  <c r="V53" i="24"/>
  <c r="J57" i="24"/>
  <c r="V61" i="24"/>
  <c r="J63" i="24"/>
  <c r="J71" i="24"/>
  <c r="V74" i="24"/>
  <c r="X75" i="24"/>
  <c r="Z75" i="24" s="1"/>
  <c r="R21" i="25"/>
  <c r="R18" i="25"/>
  <c r="R36" i="25"/>
  <c r="R33" i="25"/>
  <c r="R29" i="25"/>
  <c r="R25" i="25"/>
  <c r="P18" i="25"/>
  <c r="R15" i="25"/>
  <c r="R22" i="25"/>
  <c r="X12" i="25"/>
  <c r="R20" i="25"/>
  <c r="R24" i="25"/>
  <c r="R31" i="25"/>
  <c r="N29" i="26"/>
  <c r="L29" i="26"/>
  <c r="V24" i="28"/>
  <c r="X18" i="30"/>
  <c r="L52" i="30"/>
  <c r="N52" i="30" s="1"/>
  <c r="X90" i="30"/>
  <c r="Z90" i="30" s="1"/>
  <c r="N15" i="32"/>
  <c r="H18" i="32"/>
  <c r="L33" i="32"/>
  <c r="X14" i="33"/>
  <c r="Z14" i="33" s="1"/>
  <c r="P12" i="33"/>
  <c r="F61" i="33"/>
  <c r="F52" i="33"/>
  <c r="F49" i="33"/>
  <c r="F41" i="33"/>
  <c r="F29" i="33"/>
  <c r="F69" i="33"/>
  <c r="F55" i="33"/>
  <c r="F40" i="33"/>
  <c r="F35" i="33"/>
  <c r="F28" i="33"/>
  <c r="D22" i="33"/>
  <c r="F20" i="33"/>
  <c r="F58" i="33"/>
  <c r="F51" i="33"/>
  <c r="F46" i="33"/>
  <c r="F39" i="33"/>
  <c r="F27" i="33"/>
  <c r="F65" i="33"/>
  <c r="F54" i="33"/>
  <c r="F38" i="33"/>
  <c r="F34" i="33"/>
  <c r="F26" i="33"/>
  <c r="F73" i="33"/>
  <c r="F60" i="33"/>
  <c r="F57" i="33"/>
  <c r="F53" i="33"/>
  <c r="F48" i="33"/>
  <c r="F45" i="33"/>
  <c r="F37" i="33"/>
  <c r="F33" i="33"/>
  <c r="F24" i="33"/>
  <c r="F64" i="33"/>
  <c r="F56" i="33"/>
  <c r="F44" i="33"/>
  <c r="F36" i="33"/>
  <c r="F32" i="33"/>
  <c r="F19" i="33"/>
  <c r="F66" i="33"/>
  <c r="F62" i="33"/>
  <c r="F42" i="33"/>
  <c r="F30" i="33"/>
  <c r="F25" i="33"/>
  <c r="L12" i="33"/>
  <c r="N12" i="33" s="1"/>
  <c r="Z19" i="33"/>
  <c r="V19" i="33"/>
  <c r="J25" i="33"/>
  <c r="F59" i="33"/>
  <c r="X34" i="34"/>
  <c r="Z34" i="34"/>
  <c r="J16" i="16"/>
  <c r="R18" i="16"/>
  <c r="J20" i="16"/>
  <c r="F22" i="16"/>
  <c r="V22" i="16"/>
  <c r="R15" i="17"/>
  <c r="P18" i="17"/>
  <c r="R25" i="17"/>
  <c r="J27" i="17"/>
  <c r="R29" i="17"/>
  <c r="J31" i="17"/>
  <c r="R33" i="17"/>
  <c r="J34" i="17"/>
  <c r="R36" i="17"/>
  <c r="D12" i="18"/>
  <c r="J21" i="18"/>
  <c r="J29" i="18"/>
  <c r="J37" i="18"/>
  <c r="J45" i="18"/>
  <c r="J53" i="18"/>
  <c r="J61" i="18"/>
  <c r="J73" i="18"/>
  <c r="J85" i="18"/>
  <c r="J97" i="18"/>
  <c r="J109" i="18"/>
  <c r="J121" i="18"/>
  <c r="J125" i="18"/>
  <c r="J133" i="18"/>
  <c r="J137" i="18"/>
  <c r="J141" i="18"/>
  <c r="J148" i="18"/>
  <c r="V18" i="19"/>
  <c r="J22" i="19"/>
  <c r="R21" i="20"/>
  <c r="F25" i="20"/>
  <c r="F29" i="20"/>
  <c r="V29" i="20"/>
  <c r="F33" i="20"/>
  <c r="V33" i="20"/>
  <c r="F36" i="20"/>
  <c r="V36" i="20"/>
  <c r="P22" i="21"/>
  <c r="V29" i="21"/>
  <c r="R30" i="21"/>
  <c r="J33" i="21"/>
  <c r="R35" i="21"/>
  <c r="J37" i="21"/>
  <c r="V41" i="21"/>
  <c r="R42" i="21"/>
  <c r="J45" i="21"/>
  <c r="V49" i="21"/>
  <c r="J53" i="21"/>
  <c r="R55" i="21"/>
  <c r="V57" i="21"/>
  <c r="R58" i="21"/>
  <c r="J59" i="21"/>
  <c r="R63" i="21"/>
  <c r="J65" i="21"/>
  <c r="V69" i="21"/>
  <c r="R70" i="21"/>
  <c r="V73" i="21"/>
  <c r="R74" i="21"/>
  <c r="J77" i="21"/>
  <c r="V81" i="21"/>
  <c r="R82" i="21"/>
  <c r="J83" i="21"/>
  <c r="F21" i="22"/>
  <c r="R27" i="22"/>
  <c r="R31" i="22"/>
  <c r="R34" i="22"/>
  <c r="V22" i="24"/>
  <c r="T29" i="24"/>
  <c r="V38" i="24"/>
  <c r="V42" i="24"/>
  <c r="V50" i="24"/>
  <c r="V58" i="24"/>
  <c r="V62" i="24"/>
  <c r="V69" i="24"/>
  <c r="J72" i="24"/>
  <c r="V73" i="24"/>
  <c r="V36" i="25"/>
  <c r="V33" i="25"/>
  <c r="V29" i="25"/>
  <c r="V25" i="25"/>
  <c r="T18" i="25"/>
  <c r="V15" i="25"/>
  <c r="V22" i="25"/>
  <c r="V34" i="25"/>
  <c r="V31" i="25"/>
  <c r="V27" i="25"/>
  <c r="V24" i="25"/>
  <c r="V18" i="25"/>
  <c r="V16" i="25"/>
  <c r="N33" i="26"/>
  <c r="L33" i="26"/>
  <c r="Z18" i="30"/>
  <c r="N20" i="41"/>
  <c r="L12" i="16"/>
  <c r="F15" i="16"/>
  <c r="V15" i="16"/>
  <c r="D18" i="16"/>
  <c r="T18" i="16"/>
  <c r="R21" i="16"/>
  <c r="F25" i="16"/>
  <c r="V25" i="16"/>
  <c r="F29" i="16"/>
  <c r="V29" i="16"/>
  <c r="F33" i="16"/>
  <c r="V33" i="16"/>
  <c r="F36" i="16"/>
  <c r="V36" i="16"/>
  <c r="J16" i="17"/>
  <c r="R18" i="17"/>
  <c r="J20" i="17"/>
  <c r="F22" i="17"/>
  <c r="J22" i="18"/>
  <c r="J30" i="18"/>
  <c r="J38" i="18"/>
  <c r="J46" i="18"/>
  <c r="H55" i="18"/>
  <c r="J62" i="18"/>
  <c r="J74" i="18"/>
  <c r="J80" i="18"/>
  <c r="J92" i="18"/>
  <c r="J104" i="18"/>
  <c r="J112" i="18"/>
  <c r="J134" i="18"/>
  <c r="J138" i="18"/>
  <c r="J142" i="18"/>
  <c r="J146" i="18"/>
  <c r="J151" i="18"/>
  <c r="J15" i="19"/>
  <c r="H18" i="19"/>
  <c r="V21" i="19"/>
  <c r="J25" i="19"/>
  <c r="R27" i="19"/>
  <c r="J29" i="19"/>
  <c r="R31" i="19"/>
  <c r="J33" i="19"/>
  <c r="J36" i="19"/>
  <c r="N12" i="20"/>
  <c r="F18" i="20"/>
  <c r="V18" i="20"/>
  <c r="J22" i="20"/>
  <c r="R24" i="20"/>
  <c r="J18" i="21"/>
  <c r="R22" i="21"/>
  <c r="J24" i="21"/>
  <c r="J26" i="21"/>
  <c r="V30" i="21"/>
  <c r="R31" i="21"/>
  <c r="J34" i="21"/>
  <c r="J38" i="21"/>
  <c r="V42" i="21"/>
  <c r="R43" i="21"/>
  <c r="V46" i="21"/>
  <c r="R47" i="21"/>
  <c r="J48" i="21"/>
  <c r="R52" i="21"/>
  <c r="J54" i="21"/>
  <c r="V58" i="21"/>
  <c r="J62" i="21"/>
  <c r="V66" i="21"/>
  <c r="R67" i="21"/>
  <c r="J68" i="21"/>
  <c r="V70" i="21"/>
  <c r="R71" i="21"/>
  <c r="J72" i="21"/>
  <c r="V74" i="21"/>
  <c r="R75" i="21"/>
  <c r="V78" i="21"/>
  <c r="R79" i="21"/>
  <c r="V82" i="21"/>
  <c r="R86" i="21"/>
  <c r="R16" i="22"/>
  <c r="R20" i="22"/>
  <c r="F24" i="22"/>
  <c r="V24" i="22"/>
  <c r="H18" i="23"/>
  <c r="V21" i="23"/>
  <c r="R27" i="23"/>
  <c r="R31" i="23"/>
  <c r="R34" i="23"/>
  <c r="P12" i="24"/>
  <c r="V23" i="24"/>
  <c r="V29" i="24"/>
  <c r="V39" i="24"/>
  <c r="J41" i="24"/>
  <c r="V43" i="24"/>
  <c r="J47" i="24"/>
  <c r="V51" i="24"/>
  <c r="J55" i="24"/>
  <c r="V59" i="24"/>
  <c r="J61" i="24"/>
  <c r="Z65" i="24"/>
  <c r="J80" i="24"/>
  <c r="Z12" i="25"/>
  <c r="N15" i="26"/>
  <c r="L15" i="26"/>
  <c r="H18" i="26"/>
  <c r="N59" i="27"/>
  <c r="N67" i="30"/>
  <c r="Z73" i="30"/>
  <c r="N94" i="30"/>
  <c r="L100" i="30"/>
  <c r="N100" i="30" s="1"/>
  <c r="N24" i="33"/>
  <c r="N48" i="33"/>
  <c r="Z60" i="33"/>
  <c r="N12" i="16"/>
  <c r="F18" i="16"/>
  <c r="V18" i="16"/>
  <c r="J22" i="16"/>
  <c r="R24" i="16"/>
  <c r="L12" i="17"/>
  <c r="F15" i="17"/>
  <c r="D18" i="17"/>
  <c r="R21" i="17"/>
  <c r="F25" i="17"/>
  <c r="F29" i="17"/>
  <c r="F33" i="17"/>
  <c r="J23" i="18"/>
  <c r="J31" i="18"/>
  <c r="J39" i="18"/>
  <c r="J47" i="18"/>
  <c r="J55" i="18"/>
  <c r="J63" i="18"/>
  <c r="J69" i="18"/>
  <c r="J75" i="18"/>
  <c r="J83" i="18"/>
  <c r="J89" i="18"/>
  <c r="J95" i="18"/>
  <c r="J101" i="18"/>
  <c r="J107" i="18"/>
  <c r="J117" i="18"/>
  <c r="X126" i="18"/>
  <c r="Z126" i="18" s="1"/>
  <c r="J129" i="18"/>
  <c r="J135" i="18"/>
  <c r="V24" i="19"/>
  <c r="F21" i="20"/>
  <c r="J25" i="20"/>
  <c r="R27" i="20"/>
  <c r="J29" i="20"/>
  <c r="R31" i="20"/>
  <c r="J33" i="20"/>
  <c r="R34" i="20"/>
  <c r="J36" i="20"/>
  <c r="R17" i="21"/>
  <c r="R25" i="21"/>
  <c r="R32" i="21"/>
  <c r="R36" i="21"/>
  <c r="J39" i="21"/>
  <c r="V43" i="21"/>
  <c r="R44" i="21"/>
  <c r="V47" i="21"/>
  <c r="J51" i="21"/>
  <c r="V55" i="21"/>
  <c r="R56" i="21"/>
  <c r="J57" i="21"/>
  <c r="R61" i="21"/>
  <c r="V63" i="21"/>
  <c r="R64" i="21"/>
  <c r="V67" i="21"/>
  <c r="V71" i="21"/>
  <c r="V75" i="21"/>
  <c r="R76" i="21"/>
  <c r="X78" i="21"/>
  <c r="Z78" i="21" s="1"/>
  <c r="V79" i="21"/>
  <c r="R80" i="21"/>
  <c r="J81" i="21"/>
  <c r="X12" i="22"/>
  <c r="X24" i="22"/>
  <c r="F27" i="22"/>
  <c r="V27" i="22"/>
  <c r="F31" i="22"/>
  <c r="V31" i="22"/>
  <c r="F34" i="22"/>
  <c r="V34" i="22"/>
  <c r="L15" i="23"/>
  <c r="X21" i="23"/>
  <c r="V24" i="23"/>
  <c r="L25" i="23"/>
  <c r="L29" i="23"/>
  <c r="L33" i="23"/>
  <c r="V75" i="24"/>
  <c r="V71" i="24"/>
  <c r="V82" i="24"/>
  <c r="V76" i="24"/>
  <c r="V72" i="24"/>
  <c r="V24" i="24"/>
  <c r="V32" i="24"/>
  <c r="V40" i="24"/>
  <c r="L41" i="24"/>
  <c r="N41" i="24" s="1"/>
  <c r="V44" i="24"/>
  <c r="J48" i="24"/>
  <c r="V56" i="24"/>
  <c r="J58" i="24"/>
  <c r="V60" i="24"/>
  <c r="L61" i="24"/>
  <c r="J64" i="24"/>
  <c r="V65" i="24"/>
  <c r="V66" i="24"/>
  <c r="F47" i="33"/>
  <c r="F50" i="33"/>
  <c r="J15" i="16"/>
  <c r="H18" i="16"/>
  <c r="J25" i="16"/>
  <c r="R27" i="16"/>
  <c r="J29" i="16"/>
  <c r="R31" i="16"/>
  <c r="J33" i="16"/>
  <c r="J32" i="18"/>
  <c r="J40" i="18"/>
  <c r="J48" i="18"/>
  <c r="J58" i="18"/>
  <c r="J64" i="18"/>
  <c r="J76" i="18"/>
  <c r="J86" i="18"/>
  <c r="J98" i="18"/>
  <c r="J110" i="18"/>
  <c r="J122" i="18"/>
  <c r="J126" i="18"/>
  <c r="X12" i="19"/>
  <c r="V27" i="19"/>
  <c r="V31" i="19"/>
  <c r="R16" i="20"/>
  <c r="J20" i="21"/>
  <c r="V22" i="21"/>
  <c r="J28" i="21"/>
  <c r="V32" i="21"/>
  <c r="R33" i="21"/>
  <c r="V36" i="21"/>
  <c r="R37" i="21"/>
  <c r="J40" i="21"/>
  <c r="V44" i="21"/>
  <c r="R45" i="21"/>
  <c r="J46" i="21"/>
  <c r="R50" i="21"/>
  <c r="V52" i="21"/>
  <c r="R53" i="21"/>
  <c r="V56" i="21"/>
  <c r="J60" i="21"/>
  <c r="V64" i="21"/>
  <c r="R65" i="21"/>
  <c r="J66" i="21"/>
  <c r="V76" i="21"/>
  <c r="J78" i="21"/>
  <c r="V80" i="21"/>
  <c r="J84" i="21"/>
  <c r="V86" i="21"/>
  <c r="Z12" i="22"/>
  <c r="F16" i="22"/>
  <c r="V16" i="22"/>
  <c r="V27" i="23"/>
  <c r="V31" i="23"/>
  <c r="V17" i="24"/>
  <c r="J21" i="24"/>
  <c r="V25" i="24"/>
  <c r="J29" i="24"/>
  <c r="V33" i="24"/>
  <c r="J37" i="24"/>
  <c r="V45" i="24"/>
  <c r="J49" i="24"/>
  <c r="J53" i="24"/>
  <c r="V57" i="24"/>
  <c r="J69" i="24"/>
  <c r="J76" i="24"/>
  <c r="V20" i="25"/>
  <c r="R34" i="25"/>
  <c r="X14" i="27"/>
  <c r="P12" i="27"/>
  <c r="N33" i="27"/>
  <c r="Z59" i="27"/>
  <c r="N63" i="27"/>
  <c r="L63" i="27"/>
  <c r="N71" i="27"/>
  <c r="Z34" i="28"/>
  <c r="X34" i="28"/>
  <c r="R34" i="29"/>
  <c r="N42" i="30"/>
  <c r="X94" i="30"/>
  <c r="Z94" i="30" s="1"/>
  <c r="R21" i="31"/>
  <c r="R18" i="31"/>
  <c r="R36" i="31"/>
  <c r="R33" i="31"/>
  <c r="R29" i="31"/>
  <c r="R25" i="31"/>
  <c r="P18" i="31"/>
  <c r="R15" i="31"/>
  <c r="R22" i="31"/>
  <c r="X12" i="31"/>
  <c r="R20" i="31"/>
  <c r="R16" i="31"/>
  <c r="R24" i="31"/>
  <c r="L25" i="32"/>
  <c r="F43" i="33"/>
  <c r="N50" i="33"/>
  <c r="N12" i="25"/>
  <c r="F18" i="25"/>
  <c r="J22" i="25"/>
  <c r="L12" i="26"/>
  <c r="F15" i="26"/>
  <c r="V15" i="26"/>
  <c r="D18" i="26"/>
  <c r="T18" i="26"/>
  <c r="R21" i="26"/>
  <c r="F25" i="26"/>
  <c r="V25" i="26"/>
  <c r="F29" i="26"/>
  <c r="V29" i="26"/>
  <c r="F33" i="26"/>
  <c r="V33" i="26"/>
  <c r="F36" i="26"/>
  <c r="V36" i="26"/>
  <c r="J19" i="27"/>
  <c r="V23" i="27"/>
  <c r="J27" i="27"/>
  <c r="T30" i="27"/>
  <c r="J35" i="27"/>
  <c r="V39" i="27"/>
  <c r="J43" i="27"/>
  <c r="J47" i="27"/>
  <c r="V51" i="27"/>
  <c r="V55" i="27"/>
  <c r="J57" i="27"/>
  <c r="V63" i="27"/>
  <c r="J65" i="27"/>
  <c r="J75" i="27"/>
  <c r="J82" i="27"/>
  <c r="V83" i="27"/>
  <c r="J15" i="28"/>
  <c r="H18" i="28"/>
  <c r="F21" i="28"/>
  <c r="J25" i="28"/>
  <c r="R27" i="28"/>
  <c r="J29" i="28"/>
  <c r="R31" i="28"/>
  <c r="J33" i="28"/>
  <c r="R34" i="28"/>
  <c r="J36" i="28"/>
  <c r="N12" i="29"/>
  <c r="F18" i="29"/>
  <c r="V18" i="29"/>
  <c r="J22" i="29"/>
  <c r="J20" i="30"/>
  <c r="V24" i="30"/>
  <c r="J28" i="30"/>
  <c r="V32" i="30"/>
  <c r="J36" i="30"/>
  <c r="T39" i="30"/>
  <c r="J44" i="30"/>
  <c r="V48" i="30"/>
  <c r="V52" i="30"/>
  <c r="J56" i="30"/>
  <c r="V60" i="30"/>
  <c r="V64" i="30"/>
  <c r="J68" i="30"/>
  <c r="V72" i="30"/>
  <c r="J80" i="30"/>
  <c r="V84" i="30"/>
  <c r="J88" i="30"/>
  <c r="J92" i="30"/>
  <c r="J96" i="30"/>
  <c r="V100" i="30"/>
  <c r="J104" i="30"/>
  <c r="V108" i="30"/>
  <c r="J110" i="30"/>
  <c r="P113" i="30"/>
  <c r="X113" i="30" s="1"/>
  <c r="Z113" i="30" s="1"/>
  <c r="V120" i="30"/>
  <c r="N12" i="31"/>
  <c r="F18" i="31"/>
  <c r="V18" i="31"/>
  <c r="J22" i="31"/>
  <c r="R21" i="32"/>
  <c r="F25" i="32"/>
  <c r="V25" i="32"/>
  <c r="F29" i="32"/>
  <c r="V29" i="32"/>
  <c r="F33" i="32"/>
  <c r="V33" i="32"/>
  <c r="F36" i="32"/>
  <c r="V36" i="32"/>
  <c r="V33" i="33"/>
  <c r="J35" i="33"/>
  <c r="V37" i="33"/>
  <c r="J41" i="33"/>
  <c r="V45" i="33"/>
  <c r="J49" i="33"/>
  <c r="V53" i="33"/>
  <c r="J55" i="33"/>
  <c r="V57" i="33"/>
  <c r="J61" i="33"/>
  <c r="V73" i="33"/>
  <c r="F15" i="34"/>
  <c r="R16" i="35"/>
  <c r="R25" i="35"/>
  <c r="R27" i="35"/>
  <c r="J34" i="35"/>
  <c r="J20" i="36"/>
  <c r="R27" i="36"/>
  <c r="R46" i="36"/>
  <c r="X50" i="36"/>
  <c r="Z50" i="36" s="1"/>
  <c r="L52" i="36"/>
  <c r="N52" i="36" s="1"/>
  <c r="N20" i="38"/>
  <c r="Z59" i="39"/>
  <c r="X29" i="40"/>
  <c r="F34" i="41"/>
  <c r="F31" i="41"/>
  <c r="F27" i="41"/>
  <c r="F24" i="41"/>
  <c r="F21" i="41"/>
  <c r="F18" i="41"/>
  <c r="F36" i="41"/>
  <c r="F33" i="41"/>
  <c r="F29" i="41"/>
  <c r="F25" i="41"/>
  <c r="D18" i="41"/>
  <c r="F15" i="41"/>
  <c r="L12" i="41"/>
  <c r="F22" i="41"/>
  <c r="F20" i="41"/>
  <c r="F16" i="41"/>
  <c r="L20" i="41"/>
  <c r="L93" i="42"/>
  <c r="N93" i="42" s="1"/>
  <c r="R27" i="26"/>
  <c r="R31" i="26"/>
  <c r="R34" i="26"/>
  <c r="J36" i="26"/>
  <c r="H30" i="27"/>
  <c r="V33" i="27"/>
  <c r="J37" i="27"/>
  <c r="V41" i="27"/>
  <c r="V45" i="27"/>
  <c r="J49" i="27"/>
  <c r="V53" i="27"/>
  <c r="J55" i="27"/>
  <c r="V61" i="27"/>
  <c r="J63" i="27"/>
  <c r="J69" i="27"/>
  <c r="V73" i="27"/>
  <c r="V77" i="27"/>
  <c r="V81" i="27"/>
  <c r="F27" i="28"/>
  <c r="F31" i="28"/>
  <c r="F34" i="28"/>
  <c r="J18" i="29"/>
  <c r="V24" i="29"/>
  <c r="V18" i="30"/>
  <c r="J22" i="30"/>
  <c r="V26" i="30"/>
  <c r="J30" i="30"/>
  <c r="V34" i="30"/>
  <c r="H39" i="30"/>
  <c r="V42" i="30"/>
  <c r="J46" i="30"/>
  <c r="V50" i="30"/>
  <c r="J52" i="30"/>
  <c r="V54" i="30"/>
  <c r="J58" i="30"/>
  <c r="V62" i="30"/>
  <c r="J66" i="30"/>
  <c r="V70" i="30"/>
  <c r="J74" i="30"/>
  <c r="J78" i="30"/>
  <c r="V82" i="30"/>
  <c r="J86" i="30"/>
  <c r="V90" i="30"/>
  <c r="V94" i="30"/>
  <c r="V98" i="30"/>
  <c r="J100" i="30"/>
  <c r="V102" i="30"/>
  <c r="V106" i="30"/>
  <c r="V24" i="31"/>
  <c r="R27" i="32"/>
  <c r="R31" i="32"/>
  <c r="R34" i="32"/>
  <c r="V39" i="33"/>
  <c r="J43" i="33"/>
  <c r="J47" i="33"/>
  <c r="X50" i="33"/>
  <c r="Z50" i="33" s="1"/>
  <c r="J59" i="33"/>
  <c r="J63" i="33"/>
  <c r="J71" i="33"/>
  <c r="F18" i="34"/>
  <c r="F20" i="34"/>
  <c r="F16" i="34"/>
  <c r="F27" i="34"/>
  <c r="F34" i="34"/>
  <c r="V34" i="34"/>
  <c r="J15" i="35"/>
  <c r="L16" i="35"/>
  <c r="R18" i="35"/>
  <c r="X21" i="35"/>
  <c r="X22" i="35"/>
  <c r="J24" i="35"/>
  <c r="R33" i="35"/>
  <c r="R34" i="35"/>
  <c r="R105" i="36"/>
  <c r="R100" i="36"/>
  <c r="R96" i="36"/>
  <c r="R88" i="36"/>
  <c r="R85" i="36"/>
  <c r="R80" i="36"/>
  <c r="R76" i="36"/>
  <c r="R73" i="36"/>
  <c r="R68" i="36"/>
  <c r="R65" i="36"/>
  <c r="R60" i="36"/>
  <c r="R48" i="36"/>
  <c r="R40" i="36"/>
  <c r="R36" i="36"/>
  <c r="R111" i="36"/>
  <c r="R99" i="36"/>
  <c r="R95" i="36"/>
  <c r="R56" i="36"/>
  <c r="R51" i="36"/>
  <c r="R47" i="36"/>
  <c r="R35" i="36"/>
  <c r="R28" i="36"/>
  <c r="R20" i="36"/>
  <c r="R102" i="36"/>
  <c r="R94" i="36"/>
  <c r="R87" i="36"/>
  <c r="R79" i="36"/>
  <c r="R108" i="36"/>
  <c r="R98" i="36"/>
  <c r="R93" i="36"/>
  <c r="R53" i="36"/>
  <c r="R50" i="36"/>
  <c r="R45" i="36"/>
  <c r="R33" i="36"/>
  <c r="P25" i="36"/>
  <c r="R110" i="36"/>
  <c r="R104" i="36"/>
  <c r="R101" i="36"/>
  <c r="R92" i="36"/>
  <c r="R84" i="36"/>
  <c r="R72" i="36"/>
  <c r="R69" i="36"/>
  <c r="R64" i="36"/>
  <c r="R61" i="36"/>
  <c r="R44" i="36"/>
  <c r="R32" i="36"/>
  <c r="X12" i="36"/>
  <c r="R115" i="36"/>
  <c r="R91" i="36"/>
  <c r="R83" i="36"/>
  <c r="R55" i="36"/>
  <c r="R52" i="36"/>
  <c r="R43" i="36"/>
  <c r="R31" i="36"/>
  <c r="R23" i="36"/>
  <c r="R109" i="36"/>
  <c r="R97" i="36"/>
  <c r="R89" i="36"/>
  <c r="R81" i="36"/>
  <c r="R77" i="36"/>
  <c r="R57" i="36"/>
  <c r="R54" i="36"/>
  <c r="R49" i="36"/>
  <c r="R41" i="36"/>
  <c r="R37" i="36"/>
  <c r="R29" i="36"/>
  <c r="R30" i="36"/>
  <c r="R38" i="36"/>
  <c r="R39" i="36"/>
  <c r="R42" i="36"/>
  <c r="J24" i="37"/>
  <c r="J21" i="37"/>
  <c r="J18" i="37"/>
  <c r="J36" i="37"/>
  <c r="J33" i="37"/>
  <c r="J29" i="37"/>
  <c r="J25" i="37"/>
  <c r="H18" i="37"/>
  <c r="J15" i="37"/>
  <c r="J22" i="37"/>
  <c r="N12" i="37"/>
  <c r="J34" i="37"/>
  <c r="J31" i="37"/>
  <c r="J27" i="37"/>
  <c r="P12" i="39"/>
  <c r="X17" i="39"/>
  <c r="Z67" i="39"/>
  <c r="F84" i="39"/>
  <c r="Z25" i="42"/>
  <c r="N80" i="42"/>
  <c r="J21" i="25"/>
  <c r="F27" i="25"/>
  <c r="F31" i="25"/>
  <c r="F34" i="25"/>
  <c r="R16" i="26"/>
  <c r="J18" i="26"/>
  <c r="R20" i="26"/>
  <c r="F24" i="26"/>
  <c r="V24" i="26"/>
  <c r="V18" i="27"/>
  <c r="J22" i="27"/>
  <c r="V26" i="27"/>
  <c r="J30" i="27"/>
  <c r="V34" i="27"/>
  <c r="J38" i="27"/>
  <c r="V42" i="27"/>
  <c r="J44" i="27"/>
  <c r="V46" i="27"/>
  <c r="J50" i="27"/>
  <c r="V54" i="27"/>
  <c r="J58" i="27"/>
  <c r="V62" i="27"/>
  <c r="J66" i="27"/>
  <c r="J70" i="27"/>
  <c r="V74" i="27"/>
  <c r="J76" i="27"/>
  <c r="V78" i="27"/>
  <c r="J83" i="27"/>
  <c r="V84" i="27"/>
  <c r="J88" i="27"/>
  <c r="F16" i="28"/>
  <c r="F20" i="28"/>
  <c r="R22" i="28"/>
  <c r="J24" i="28"/>
  <c r="J21" i="29"/>
  <c r="F27" i="29"/>
  <c r="V27" i="29"/>
  <c r="F31" i="29"/>
  <c r="V31" i="29"/>
  <c r="F34" i="29"/>
  <c r="V34" i="29"/>
  <c r="V19" i="30"/>
  <c r="J23" i="30"/>
  <c r="V27" i="30"/>
  <c r="J31" i="30"/>
  <c r="V35" i="30"/>
  <c r="V43" i="30"/>
  <c r="J47" i="30"/>
  <c r="V51" i="30"/>
  <c r="V55" i="30"/>
  <c r="J59" i="30"/>
  <c r="V67" i="30"/>
  <c r="J69" i="30"/>
  <c r="J75" i="30"/>
  <c r="V79" i="30"/>
  <c r="J81" i="30"/>
  <c r="V87" i="30"/>
  <c r="V91" i="30"/>
  <c r="V95" i="30"/>
  <c r="J97" i="30"/>
  <c r="V99" i="30"/>
  <c r="V103" i="30"/>
  <c r="J105" i="30"/>
  <c r="J111" i="30"/>
  <c r="V113" i="30"/>
  <c r="J21" i="31"/>
  <c r="F27" i="31"/>
  <c r="V27" i="31"/>
  <c r="F31" i="31"/>
  <c r="V31" i="31"/>
  <c r="F34" i="31"/>
  <c r="V34" i="31"/>
  <c r="R16" i="32"/>
  <c r="J18" i="32"/>
  <c r="R20" i="32"/>
  <c r="F24" i="32"/>
  <c r="V24" i="32"/>
  <c r="V20" i="33"/>
  <c r="V24" i="33"/>
  <c r="V28" i="33"/>
  <c r="J32" i="33"/>
  <c r="J36" i="33"/>
  <c r="V40" i="33"/>
  <c r="J44" i="33"/>
  <c r="V48" i="33"/>
  <c r="J50" i="33"/>
  <c r="J56" i="33"/>
  <c r="V60" i="33"/>
  <c r="J64" i="33"/>
  <c r="J68" i="33"/>
  <c r="J22" i="34"/>
  <c r="N12" i="34"/>
  <c r="J24" i="34"/>
  <c r="V24" i="34"/>
  <c r="J27" i="34"/>
  <c r="F29" i="34"/>
  <c r="V29" i="34"/>
  <c r="N12" i="35"/>
  <c r="N59" i="36"/>
  <c r="R62" i="36"/>
  <c r="N67" i="36"/>
  <c r="R70" i="36"/>
  <c r="N75" i="36"/>
  <c r="N79" i="36"/>
  <c r="R82" i="36"/>
  <c r="Z85" i="36"/>
  <c r="X48" i="39"/>
  <c r="F56" i="39"/>
  <c r="F96" i="39"/>
  <c r="X22" i="41"/>
  <c r="F101" i="42"/>
  <c r="F95" i="42"/>
  <c r="F92" i="42"/>
  <c r="F94" i="42"/>
  <c r="F105" i="42"/>
  <c r="F100" i="42"/>
  <c r="F98" i="42"/>
  <c r="F96" i="42"/>
  <c r="F89" i="42"/>
  <c r="F99" i="42"/>
  <c r="F84" i="42"/>
  <c r="F76" i="42"/>
  <c r="F51" i="42"/>
  <c r="F48" i="42"/>
  <c r="F44" i="42"/>
  <c r="F32" i="42"/>
  <c r="F83" i="42"/>
  <c r="F79" i="42"/>
  <c r="F75" i="42"/>
  <c r="F71" i="42"/>
  <c r="F67" i="42"/>
  <c r="F62" i="42"/>
  <c r="F59" i="42"/>
  <c r="F43" i="42"/>
  <c r="F31" i="42"/>
  <c r="F26" i="42"/>
  <c r="F18" i="42"/>
  <c r="F82" i="42"/>
  <c r="F74" i="42"/>
  <c r="F70" i="42"/>
  <c r="F53" i="42"/>
  <c r="F50" i="42"/>
  <c r="F42" i="42"/>
  <c r="F30" i="42"/>
  <c r="F90" i="42"/>
  <c r="F81" i="42"/>
  <c r="F73" i="42"/>
  <c r="F69" i="42"/>
  <c r="F64" i="42"/>
  <c r="F61" i="42"/>
  <c r="F56" i="42"/>
  <c r="F41" i="42"/>
  <c r="F36" i="42"/>
  <c r="F29" i="42"/>
  <c r="D23" i="42"/>
  <c r="F21" i="42"/>
  <c r="F91" i="42"/>
  <c r="F52" i="42"/>
  <c r="F47" i="42"/>
  <c r="F40" i="42"/>
  <c r="F28" i="42"/>
  <c r="F20" i="42"/>
  <c r="L12" i="42"/>
  <c r="F78" i="42"/>
  <c r="F66" i="42"/>
  <c r="F63" i="42"/>
  <c r="F58" i="42"/>
  <c r="F55" i="42"/>
  <c r="F39" i="42"/>
  <c r="F35" i="42"/>
  <c r="F27" i="42"/>
  <c r="F19" i="42"/>
  <c r="F93" i="42"/>
  <c r="F85" i="42"/>
  <c r="F80" i="42"/>
  <c r="F77" i="42"/>
  <c r="F72" i="42"/>
  <c r="F68" i="42"/>
  <c r="F65" i="42"/>
  <c r="F60" i="42"/>
  <c r="F57" i="42"/>
  <c r="F45" i="42"/>
  <c r="F37" i="42"/>
  <c r="F33" i="42"/>
  <c r="F34" i="42"/>
  <c r="Z49" i="42"/>
  <c r="Z78" i="42"/>
  <c r="X12" i="26"/>
  <c r="F27" i="26"/>
  <c r="F31" i="26"/>
  <c r="F34" i="26"/>
  <c r="J33" i="27"/>
  <c r="V35" i="27"/>
  <c r="J39" i="27"/>
  <c r="V43" i="27"/>
  <c r="V47" i="27"/>
  <c r="J51" i="27"/>
  <c r="V59" i="27"/>
  <c r="J61" i="27"/>
  <c r="V67" i="27"/>
  <c r="V71" i="27"/>
  <c r="J73" i="27"/>
  <c r="V75" i="27"/>
  <c r="V28" i="30"/>
  <c r="J32" i="30"/>
  <c r="V36" i="30"/>
  <c r="J42" i="30"/>
  <c r="V44" i="30"/>
  <c r="J48" i="30"/>
  <c r="V56" i="30"/>
  <c r="J60" i="30"/>
  <c r="J64" i="30"/>
  <c r="X67" i="30"/>
  <c r="Z67" i="30" s="1"/>
  <c r="V68" i="30"/>
  <c r="L69" i="30"/>
  <c r="J72" i="30"/>
  <c r="V76" i="30"/>
  <c r="X79" i="30"/>
  <c r="Z79" i="30" s="1"/>
  <c r="V80" i="30"/>
  <c r="L81" i="30"/>
  <c r="N81" i="30" s="1"/>
  <c r="J84" i="30"/>
  <c r="X87" i="30"/>
  <c r="Z87" i="30" s="1"/>
  <c r="V88" i="30"/>
  <c r="J90" i="30"/>
  <c r="V92" i="30"/>
  <c r="J94" i="30"/>
  <c r="V96" i="30"/>
  <c r="L97" i="30"/>
  <c r="N97" i="30" s="1"/>
  <c r="V104" i="30"/>
  <c r="L105" i="30"/>
  <c r="N105" i="30" s="1"/>
  <c r="J108" i="30"/>
  <c r="J115" i="30"/>
  <c r="V116" i="30"/>
  <c r="J120" i="30"/>
  <c r="Z12" i="31"/>
  <c r="V16" i="31"/>
  <c r="V20" i="31"/>
  <c r="L21" i="31"/>
  <c r="X34" i="31"/>
  <c r="X12" i="32"/>
  <c r="X24" i="32"/>
  <c r="V29" i="33"/>
  <c r="J33" i="33"/>
  <c r="J37" i="33"/>
  <c r="V41" i="33"/>
  <c r="J45" i="33"/>
  <c r="V49" i="33"/>
  <c r="J53" i="33"/>
  <c r="J57" i="33"/>
  <c r="V61" i="33"/>
  <c r="V65" i="33"/>
  <c r="V69" i="33"/>
  <c r="J73" i="33"/>
  <c r="D18" i="34"/>
  <c r="F22" i="34"/>
  <c r="R21" i="35"/>
  <c r="X12" i="35"/>
  <c r="R20" i="35"/>
  <c r="R63" i="36"/>
  <c r="R71" i="36"/>
  <c r="N50" i="39"/>
  <c r="L50" i="39"/>
  <c r="F99" i="39"/>
  <c r="F86" i="42"/>
  <c r="L66" i="45"/>
  <c r="N66" i="45" s="1"/>
  <c r="Z29" i="53"/>
  <c r="X29" i="53"/>
  <c r="J27" i="25"/>
  <c r="J31" i="25"/>
  <c r="J34" i="25"/>
  <c r="Z12" i="26"/>
  <c r="X13" i="26"/>
  <c r="F16" i="26"/>
  <c r="V16" i="26"/>
  <c r="F20" i="26"/>
  <c r="V20" i="26"/>
  <c r="R22" i="26"/>
  <c r="J24" i="26"/>
  <c r="L16" i="27"/>
  <c r="J18" i="27"/>
  <c r="V20" i="27"/>
  <c r="J24" i="27"/>
  <c r="V28" i="27"/>
  <c r="V32" i="27"/>
  <c r="V36" i="27"/>
  <c r="J40" i="27"/>
  <c r="V48" i="27"/>
  <c r="J52" i="27"/>
  <c r="J56" i="27"/>
  <c r="V60" i="27"/>
  <c r="J64" i="27"/>
  <c r="V68" i="27"/>
  <c r="V72" i="27"/>
  <c r="J81" i="27"/>
  <c r="V82" i="27"/>
  <c r="J16" i="28"/>
  <c r="R18" i="28"/>
  <c r="J20" i="28"/>
  <c r="F22" i="28"/>
  <c r="J27" i="29"/>
  <c r="J31" i="29"/>
  <c r="J34" i="29"/>
  <c r="D12" i="30"/>
  <c r="V21" i="30"/>
  <c r="J25" i="30"/>
  <c r="V29" i="30"/>
  <c r="J33" i="30"/>
  <c r="V37" i="30"/>
  <c r="V41" i="30"/>
  <c r="V45" i="30"/>
  <c r="J49" i="30"/>
  <c r="J53" i="30"/>
  <c r="V57" i="30"/>
  <c r="J61" i="30"/>
  <c r="V65" i="30"/>
  <c r="J67" i="30"/>
  <c r="V73" i="30"/>
  <c r="V77" i="30"/>
  <c r="J79" i="30"/>
  <c r="V85" i="30"/>
  <c r="J87" i="30"/>
  <c r="V89" i="30"/>
  <c r="V93" i="30"/>
  <c r="J101" i="30"/>
  <c r="J109" i="30"/>
  <c r="J113" i="30"/>
  <c r="J27" i="31"/>
  <c r="J31" i="31"/>
  <c r="J34" i="31"/>
  <c r="X13" i="32"/>
  <c r="F16" i="32"/>
  <c r="V16" i="32"/>
  <c r="F20" i="32"/>
  <c r="V20" i="32"/>
  <c r="R22" i="32"/>
  <c r="J24" i="32"/>
  <c r="L16" i="33"/>
  <c r="J24" i="33"/>
  <c r="J26" i="33"/>
  <c r="V30" i="33"/>
  <c r="J34" i="33"/>
  <c r="J38" i="33"/>
  <c r="V42" i="33"/>
  <c r="V46" i="33"/>
  <c r="J48" i="33"/>
  <c r="J54" i="33"/>
  <c r="V58" i="33"/>
  <c r="J60" i="33"/>
  <c r="V62" i="33"/>
  <c r="V66" i="33"/>
  <c r="X69" i="33"/>
  <c r="Z69" i="33" s="1"/>
  <c r="R24" i="34"/>
  <c r="R22" i="34"/>
  <c r="H18" i="34"/>
  <c r="R21" i="34"/>
  <c r="F24" i="34"/>
  <c r="R25" i="34"/>
  <c r="J29" i="34"/>
  <c r="R33" i="34"/>
  <c r="F36" i="34"/>
  <c r="V36" i="35"/>
  <c r="V33" i="35"/>
  <c r="V29" i="35"/>
  <c r="V25" i="35"/>
  <c r="T18" i="35"/>
  <c r="V15" i="35"/>
  <c r="V34" i="35"/>
  <c r="V31" i="35"/>
  <c r="V27" i="35"/>
  <c r="R15" i="35"/>
  <c r="J16" i="35"/>
  <c r="V22" i="35"/>
  <c r="X24" i="35"/>
  <c r="J25" i="35"/>
  <c r="N27" i="36"/>
  <c r="N28" i="36"/>
  <c r="N87" i="36"/>
  <c r="R90" i="36"/>
  <c r="J16" i="37"/>
  <c r="X33" i="37"/>
  <c r="F20" i="39"/>
  <c r="F59" i="39"/>
  <c r="F64" i="39"/>
  <c r="F105" i="39"/>
  <c r="J24" i="40"/>
  <c r="J21" i="40"/>
  <c r="J18" i="40"/>
  <c r="J36" i="40"/>
  <c r="J33" i="40"/>
  <c r="J29" i="40"/>
  <c r="J25" i="40"/>
  <c r="H18" i="40"/>
  <c r="J15" i="40"/>
  <c r="J22" i="40"/>
  <c r="N12" i="40"/>
  <c r="J34" i="40"/>
  <c r="J31" i="40"/>
  <c r="J27" i="40"/>
  <c r="N51" i="42"/>
  <c r="Z58" i="42"/>
  <c r="N72" i="42"/>
  <c r="N16" i="49"/>
  <c r="L16" i="49"/>
  <c r="N20" i="49"/>
  <c r="L20" i="49"/>
  <c r="Z22" i="49"/>
  <c r="X22" i="49"/>
  <c r="J16" i="25"/>
  <c r="F22" i="25"/>
  <c r="R15" i="26"/>
  <c r="P18" i="26"/>
  <c r="R25" i="26"/>
  <c r="J27" i="26"/>
  <c r="R29" i="26"/>
  <c r="J31" i="26"/>
  <c r="R33" i="26"/>
  <c r="J34" i="26"/>
  <c r="R36" i="26"/>
  <c r="V21" i="27"/>
  <c r="J25" i="27"/>
  <c r="V37" i="27"/>
  <c r="J41" i="27"/>
  <c r="J45" i="27"/>
  <c r="V49" i="27"/>
  <c r="J53" i="27"/>
  <c r="V57" i="27"/>
  <c r="J59" i="27"/>
  <c r="V65" i="27"/>
  <c r="J67" i="27"/>
  <c r="V69" i="27"/>
  <c r="J71" i="27"/>
  <c r="J77" i="27"/>
  <c r="J84" i="27"/>
  <c r="L12" i="28"/>
  <c r="F15" i="28"/>
  <c r="D18" i="28"/>
  <c r="F25" i="28"/>
  <c r="F29" i="28"/>
  <c r="F33" i="28"/>
  <c r="F36" i="28"/>
  <c r="J16" i="29"/>
  <c r="V22" i="29"/>
  <c r="V22" i="30"/>
  <c r="J26" i="30"/>
  <c r="V30" i="30"/>
  <c r="J34" i="30"/>
  <c r="V46" i="30"/>
  <c r="J50" i="30"/>
  <c r="J54" i="30"/>
  <c r="V58" i="30"/>
  <c r="J62" i="30"/>
  <c r="V66" i="30"/>
  <c r="J70" i="30"/>
  <c r="V74" i="30"/>
  <c r="J76" i="30"/>
  <c r="V78" i="30"/>
  <c r="J82" i="30"/>
  <c r="V86" i="30"/>
  <c r="J98" i="30"/>
  <c r="J102" i="30"/>
  <c r="J106" i="30"/>
  <c r="V110" i="30"/>
  <c r="V114" i="30"/>
  <c r="J16" i="31"/>
  <c r="F22" i="31"/>
  <c r="V22" i="31"/>
  <c r="R15" i="32"/>
  <c r="P18" i="32"/>
  <c r="R25" i="32"/>
  <c r="J27" i="32"/>
  <c r="R29" i="32"/>
  <c r="J31" i="32"/>
  <c r="R33" i="32"/>
  <c r="J34" i="32"/>
  <c r="R36" i="32"/>
  <c r="T22" i="33"/>
  <c r="J27" i="33"/>
  <c r="V31" i="33"/>
  <c r="V35" i="33"/>
  <c r="J39" i="33"/>
  <c r="V43" i="33"/>
  <c r="V47" i="33"/>
  <c r="J51" i="33"/>
  <c r="V55" i="33"/>
  <c r="V59" i="33"/>
  <c r="V63" i="33"/>
  <c r="J65" i="33"/>
  <c r="J75" i="33"/>
  <c r="V18" i="34"/>
  <c r="V20" i="34"/>
  <c r="V16" i="34"/>
  <c r="Z12" i="34"/>
  <c r="R15" i="34"/>
  <c r="L16" i="34"/>
  <c r="J18" i="34"/>
  <c r="R27" i="34"/>
  <c r="F31" i="34"/>
  <c r="J36" i="34"/>
  <c r="Z12" i="35"/>
  <c r="H18" i="35"/>
  <c r="L20" i="35"/>
  <c r="V20" i="35"/>
  <c r="R24" i="35"/>
  <c r="J27" i="35"/>
  <c r="J29" i="35"/>
  <c r="L34" i="35"/>
  <c r="L20" i="36"/>
  <c r="N20" i="36" s="1"/>
  <c r="R34" i="36"/>
  <c r="R58" i="36"/>
  <c r="R59" i="36"/>
  <c r="R66" i="36"/>
  <c r="R67" i="36"/>
  <c r="R74" i="36"/>
  <c r="R75" i="36"/>
  <c r="R78" i="36"/>
  <c r="X29" i="37"/>
  <c r="F34" i="38"/>
  <c r="F31" i="38"/>
  <c r="F27" i="38"/>
  <c r="F24" i="38"/>
  <c r="F21" i="38"/>
  <c r="F18" i="38"/>
  <c r="F36" i="38"/>
  <c r="F33" i="38"/>
  <c r="F29" i="38"/>
  <c r="F25" i="38"/>
  <c r="D18" i="38"/>
  <c r="F15" i="38"/>
  <c r="L12" i="38"/>
  <c r="F22" i="38"/>
  <c r="F20" i="38"/>
  <c r="F16" i="38"/>
  <c r="F28" i="39"/>
  <c r="L16" i="41"/>
  <c r="F54" i="42"/>
  <c r="Z66" i="42"/>
  <c r="N68" i="42"/>
  <c r="L12" i="25"/>
  <c r="F15" i="25"/>
  <c r="D18" i="25"/>
  <c r="F25" i="25"/>
  <c r="F29" i="25"/>
  <c r="F33" i="25"/>
  <c r="J16" i="26"/>
  <c r="V22" i="27"/>
  <c r="J26" i="27"/>
  <c r="J32" i="27"/>
  <c r="J34" i="27"/>
  <c r="V38" i="27"/>
  <c r="J42" i="27"/>
  <c r="J46" i="27"/>
  <c r="V50" i="27"/>
  <c r="J54" i="27"/>
  <c r="V58" i="27"/>
  <c r="J62" i="27"/>
  <c r="V66" i="27"/>
  <c r="V70" i="27"/>
  <c r="J74" i="27"/>
  <c r="V80" i="27"/>
  <c r="V88" i="27"/>
  <c r="N12" i="28"/>
  <c r="L12" i="29"/>
  <c r="F15" i="29"/>
  <c r="V15" i="29"/>
  <c r="D18" i="29"/>
  <c r="T18" i="29"/>
  <c r="F25" i="29"/>
  <c r="V25" i="29"/>
  <c r="F29" i="29"/>
  <c r="V29" i="29"/>
  <c r="F33" i="29"/>
  <c r="V33" i="29"/>
  <c r="J19" i="30"/>
  <c r="V23" i="30"/>
  <c r="J27" i="30"/>
  <c r="V31" i="30"/>
  <c r="J35" i="30"/>
  <c r="J41" i="30"/>
  <c r="J43" i="30"/>
  <c r="V47" i="30"/>
  <c r="J51" i="30"/>
  <c r="J55" i="30"/>
  <c r="V59" i="30"/>
  <c r="V63" i="30"/>
  <c r="J65" i="30"/>
  <c r="V71" i="30"/>
  <c r="J73" i="30"/>
  <c r="V75" i="30"/>
  <c r="V83" i="30"/>
  <c r="J85" i="30"/>
  <c r="J91" i="30"/>
  <c r="J95" i="30"/>
  <c r="J99" i="30"/>
  <c r="J103" i="30"/>
  <c r="V107" i="30"/>
  <c r="L12" i="31"/>
  <c r="F15" i="31"/>
  <c r="V15" i="31"/>
  <c r="D18" i="31"/>
  <c r="T18" i="31"/>
  <c r="F25" i="31"/>
  <c r="V25" i="31"/>
  <c r="F29" i="31"/>
  <c r="V29" i="31"/>
  <c r="F33" i="31"/>
  <c r="V33" i="31"/>
  <c r="J16" i="32"/>
  <c r="J20" i="33"/>
  <c r="V22" i="33"/>
  <c r="J28" i="33"/>
  <c r="V32" i="33"/>
  <c r="V36" i="33"/>
  <c r="J40" i="33"/>
  <c r="V44" i="33"/>
  <c r="J46" i="33"/>
  <c r="V52" i="33"/>
  <c r="V56" i="33"/>
  <c r="J58" i="33"/>
  <c r="V64" i="33"/>
  <c r="X12" i="34"/>
  <c r="J20" i="34"/>
  <c r="L21" i="34"/>
  <c r="V21" i="34"/>
  <c r="F25" i="34"/>
  <c r="V25" i="34"/>
  <c r="J31" i="34"/>
  <c r="F33" i="34"/>
  <c r="V33" i="34"/>
  <c r="J18" i="35"/>
  <c r="J22" i="35"/>
  <c r="J31" i="35"/>
  <c r="J33" i="35"/>
  <c r="J36" i="35"/>
  <c r="R22" i="36"/>
  <c r="H25" i="36"/>
  <c r="X54" i="36"/>
  <c r="Z54" i="36" s="1"/>
  <c r="N56" i="36"/>
  <c r="L56" i="36"/>
  <c r="R103" i="36"/>
  <c r="X15" i="37"/>
  <c r="J20" i="37"/>
  <c r="X25" i="37"/>
  <c r="L20" i="38"/>
  <c r="F98" i="39"/>
  <c r="F90" i="39"/>
  <c r="F81" i="39"/>
  <c r="F73" i="39"/>
  <c r="F69" i="39"/>
  <c r="F66" i="39"/>
  <c r="F61" i="39"/>
  <c r="F58" i="39"/>
  <c r="F46" i="39"/>
  <c r="F38" i="39"/>
  <c r="F34" i="39"/>
  <c r="F109" i="39"/>
  <c r="F104" i="39"/>
  <c r="F102" i="39"/>
  <c r="F89" i="39"/>
  <c r="F52" i="39"/>
  <c r="F49" i="39"/>
  <c r="F45" i="39"/>
  <c r="F33" i="39"/>
  <c r="F100" i="39"/>
  <c r="F88" i="39"/>
  <c r="F83" i="39"/>
  <c r="F80" i="39"/>
  <c r="F75" i="39"/>
  <c r="F72" i="39"/>
  <c r="F68" i="39"/>
  <c r="F63" i="39"/>
  <c r="F60" i="39"/>
  <c r="F44" i="39"/>
  <c r="F32" i="39"/>
  <c r="F27" i="39"/>
  <c r="F19" i="39"/>
  <c r="F94" i="39"/>
  <c r="F87" i="39"/>
  <c r="F79" i="39"/>
  <c r="F71" i="39"/>
  <c r="F54" i="39"/>
  <c r="F51" i="39"/>
  <c r="F43" i="39"/>
  <c r="F31" i="39"/>
  <c r="F103" i="39"/>
  <c r="F97" i="39"/>
  <c r="F86" i="39"/>
  <c r="F82" i="39"/>
  <c r="F78" i="39"/>
  <c r="F74" i="39"/>
  <c r="F70" i="39"/>
  <c r="F65" i="39"/>
  <c r="F62" i="39"/>
  <c r="F57" i="39"/>
  <c r="F42" i="39"/>
  <c r="F37" i="39"/>
  <c r="F30" i="39"/>
  <c r="D24" i="39"/>
  <c r="F22" i="39"/>
  <c r="L12" i="39"/>
  <c r="F93" i="39"/>
  <c r="F85" i="39"/>
  <c r="F77" i="39"/>
  <c r="F53" i="39"/>
  <c r="F48" i="39"/>
  <c r="F41" i="39"/>
  <c r="F29" i="39"/>
  <c r="F21" i="39"/>
  <c r="F95" i="39"/>
  <c r="F91" i="39"/>
  <c r="F55" i="39"/>
  <c r="F50" i="39"/>
  <c r="F47" i="39"/>
  <c r="F39" i="39"/>
  <c r="F35" i="39"/>
  <c r="F26" i="39"/>
  <c r="L26" i="39"/>
  <c r="N26" i="39" s="1"/>
  <c r="F67" i="39"/>
  <c r="F76" i="39"/>
  <c r="F92" i="39"/>
  <c r="J16" i="40"/>
  <c r="X33" i="40"/>
  <c r="F25" i="42"/>
  <c r="F38" i="42"/>
  <c r="F88" i="42"/>
  <c r="V28" i="36"/>
  <c r="J32" i="36"/>
  <c r="V36" i="36"/>
  <c r="V40" i="36"/>
  <c r="J44" i="36"/>
  <c r="V48" i="36"/>
  <c r="J50" i="36"/>
  <c r="V56" i="36"/>
  <c r="V60" i="36"/>
  <c r="J64" i="36"/>
  <c r="V68" i="36"/>
  <c r="J72" i="36"/>
  <c r="V76" i="36"/>
  <c r="V80" i="36"/>
  <c r="J84" i="36"/>
  <c r="V88" i="36"/>
  <c r="J92" i="36"/>
  <c r="V96" i="36"/>
  <c r="J98" i="36"/>
  <c r="V100" i="36"/>
  <c r="J104" i="36"/>
  <c r="J108" i="36"/>
  <c r="V42" i="39"/>
  <c r="V50" i="39"/>
  <c r="J52" i="39"/>
  <c r="J58" i="39"/>
  <c r="V62" i="39"/>
  <c r="J66" i="39"/>
  <c r="V70" i="39"/>
  <c r="V74" i="39"/>
  <c r="V78" i="39"/>
  <c r="V82" i="39"/>
  <c r="V86" i="39"/>
  <c r="J90" i="39"/>
  <c r="J98" i="39"/>
  <c r="J102" i="39"/>
  <c r="J26" i="42"/>
  <c r="V28" i="42"/>
  <c r="R29" i="42"/>
  <c r="J32" i="42"/>
  <c r="N36" i="42"/>
  <c r="V40" i="42"/>
  <c r="R41" i="42"/>
  <c r="J44" i="42"/>
  <c r="J48" i="42"/>
  <c r="V52" i="42"/>
  <c r="N56" i="42"/>
  <c r="R58" i="42"/>
  <c r="V60" i="42"/>
  <c r="R61" i="42"/>
  <c r="J62" i="42"/>
  <c r="R66" i="42"/>
  <c r="V68" i="42"/>
  <c r="R69" i="42"/>
  <c r="V72" i="42"/>
  <c r="R73" i="42"/>
  <c r="J76" i="42"/>
  <c r="R78" i="42"/>
  <c r="V80" i="42"/>
  <c r="R81" i="42"/>
  <c r="J84" i="42"/>
  <c r="R94" i="42"/>
  <c r="X21" i="46"/>
  <c r="N13" i="47"/>
  <c r="L13" i="47"/>
  <c r="F34" i="48"/>
  <c r="F41" i="48"/>
  <c r="F46" i="48"/>
  <c r="F34" i="49"/>
  <c r="F31" i="49"/>
  <c r="F27" i="49"/>
  <c r="F24" i="49"/>
  <c r="F21" i="49"/>
  <c r="F18" i="49"/>
  <c r="F36" i="49"/>
  <c r="F33" i="49"/>
  <c r="F29" i="49"/>
  <c r="F25" i="49"/>
  <c r="D18" i="49"/>
  <c r="F15" i="49"/>
  <c r="L12" i="49"/>
  <c r="F22" i="49"/>
  <c r="F20" i="49"/>
  <c r="F16" i="49"/>
  <c r="N25" i="52"/>
  <c r="L25" i="52"/>
  <c r="N29" i="52"/>
  <c r="L29" i="52"/>
  <c r="N33" i="52"/>
  <c r="L33" i="52"/>
  <c r="V22" i="36"/>
  <c r="J28" i="36"/>
  <c r="V30" i="36"/>
  <c r="J34" i="36"/>
  <c r="V38" i="36"/>
  <c r="V42" i="36"/>
  <c r="J46" i="36"/>
  <c r="V54" i="36"/>
  <c r="J56" i="36"/>
  <c r="V58" i="36"/>
  <c r="J62" i="36"/>
  <c r="V66" i="36"/>
  <c r="J70" i="36"/>
  <c r="V74" i="36"/>
  <c r="V78" i="36"/>
  <c r="V82" i="36"/>
  <c r="V86" i="36"/>
  <c r="V90" i="36"/>
  <c r="J94" i="36"/>
  <c r="J102" i="36"/>
  <c r="V106" i="36"/>
  <c r="J111" i="36"/>
  <c r="L12" i="37"/>
  <c r="F15" i="37"/>
  <c r="V15" i="37"/>
  <c r="D18" i="37"/>
  <c r="T18" i="37"/>
  <c r="R21" i="37"/>
  <c r="F25" i="37"/>
  <c r="V25" i="37"/>
  <c r="F29" i="37"/>
  <c r="V29" i="37"/>
  <c r="F33" i="37"/>
  <c r="V33" i="37"/>
  <c r="F36" i="37"/>
  <c r="V36" i="37"/>
  <c r="J16" i="38"/>
  <c r="R18" i="38"/>
  <c r="J20" i="38"/>
  <c r="V22" i="38"/>
  <c r="J20" i="39"/>
  <c r="J26" i="39"/>
  <c r="J28" i="39"/>
  <c r="V32" i="39"/>
  <c r="J36" i="39"/>
  <c r="J40" i="39"/>
  <c r="V44" i="39"/>
  <c r="V48" i="39"/>
  <c r="J50" i="39"/>
  <c r="J56" i="39"/>
  <c r="V60" i="39"/>
  <c r="J64" i="39"/>
  <c r="V68" i="39"/>
  <c r="V72" i="39"/>
  <c r="J76" i="39"/>
  <c r="V80" i="39"/>
  <c r="J84" i="39"/>
  <c r="V88" i="39"/>
  <c r="J92" i="39"/>
  <c r="J96" i="39"/>
  <c r="V100" i="39"/>
  <c r="J105" i="39"/>
  <c r="L12" i="40"/>
  <c r="F15" i="40"/>
  <c r="V15" i="40"/>
  <c r="D18" i="40"/>
  <c r="T18" i="40"/>
  <c r="R21" i="40"/>
  <c r="F25" i="40"/>
  <c r="V25" i="40"/>
  <c r="F29" i="40"/>
  <c r="V29" i="40"/>
  <c r="F33" i="40"/>
  <c r="V33" i="40"/>
  <c r="F36" i="40"/>
  <c r="V36" i="40"/>
  <c r="J16" i="41"/>
  <c r="R18" i="41"/>
  <c r="J20" i="41"/>
  <c r="V22" i="41"/>
  <c r="J91" i="42"/>
  <c r="J98" i="42"/>
  <c r="J94" i="42"/>
  <c r="J105" i="42"/>
  <c r="J100" i="42"/>
  <c r="J96" i="42"/>
  <c r="J90" i="42"/>
  <c r="J93" i="42"/>
  <c r="J101" i="42"/>
  <c r="J92" i="42"/>
  <c r="J88" i="42"/>
  <c r="P23" i="42"/>
  <c r="V30" i="42"/>
  <c r="R31" i="42"/>
  <c r="J34" i="42"/>
  <c r="R36" i="42"/>
  <c r="J38" i="42"/>
  <c r="V42" i="42"/>
  <c r="R43" i="42"/>
  <c r="J46" i="42"/>
  <c r="V50" i="42"/>
  <c r="J54" i="42"/>
  <c r="R56" i="42"/>
  <c r="V58" i="42"/>
  <c r="R59" i="42"/>
  <c r="J60" i="42"/>
  <c r="R64" i="42"/>
  <c r="V66" i="42"/>
  <c r="R67" i="42"/>
  <c r="J68" i="42"/>
  <c r="V70" i="42"/>
  <c r="R71" i="42"/>
  <c r="J72" i="42"/>
  <c r="V74" i="42"/>
  <c r="R75" i="42"/>
  <c r="V78" i="42"/>
  <c r="R79" i="42"/>
  <c r="J80" i="42"/>
  <c r="V82" i="42"/>
  <c r="R83" i="42"/>
  <c r="J86" i="42"/>
  <c r="J87" i="42"/>
  <c r="R98" i="42"/>
  <c r="R100" i="42"/>
  <c r="V105" i="42"/>
  <c r="N15" i="43"/>
  <c r="H18" i="43"/>
  <c r="N26" i="45"/>
  <c r="X48" i="45"/>
  <c r="Z48" i="45" s="1"/>
  <c r="L50" i="45"/>
  <c r="N50" i="45" s="1"/>
  <c r="X56" i="45"/>
  <c r="Z56" i="45" s="1"/>
  <c r="L58" i="45"/>
  <c r="N58" i="45" s="1"/>
  <c r="X64" i="45"/>
  <c r="Z64" i="45" s="1"/>
  <c r="Z85" i="45"/>
  <c r="F49" i="48"/>
  <c r="Z55" i="48"/>
  <c r="X15" i="50"/>
  <c r="P18" i="50"/>
  <c r="P82" i="51"/>
  <c r="Z61" i="51"/>
  <c r="N15" i="52"/>
  <c r="L15" i="52"/>
  <c r="H18" i="52"/>
  <c r="P65" i="56"/>
  <c r="P61" i="61"/>
  <c r="V23" i="36"/>
  <c r="V27" i="36"/>
  <c r="V31" i="36"/>
  <c r="J35" i="36"/>
  <c r="V43" i="36"/>
  <c r="J47" i="36"/>
  <c r="J51" i="36"/>
  <c r="V55" i="36"/>
  <c r="V63" i="36"/>
  <c r="J65" i="36"/>
  <c r="V71" i="36"/>
  <c r="J73" i="36"/>
  <c r="V83" i="36"/>
  <c r="J85" i="36"/>
  <c r="V91" i="36"/>
  <c r="J95" i="36"/>
  <c r="J99" i="36"/>
  <c r="V103" i="36"/>
  <c r="J105" i="36"/>
  <c r="L111" i="36"/>
  <c r="V115" i="36"/>
  <c r="F18" i="37"/>
  <c r="V18" i="37"/>
  <c r="R24" i="37"/>
  <c r="V15" i="38"/>
  <c r="T18" i="38"/>
  <c r="R21" i="38"/>
  <c r="V25" i="38"/>
  <c r="V29" i="38"/>
  <c r="V33" i="38"/>
  <c r="V36" i="38"/>
  <c r="J21" i="39"/>
  <c r="T24" i="39"/>
  <c r="J29" i="39"/>
  <c r="V33" i="39"/>
  <c r="V37" i="39"/>
  <c r="J41" i="39"/>
  <c r="V45" i="39"/>
  <c r="V49" i="39"/>
  <c r="J53" i="39"/>
  <c r="V57" i="39"/>
  <c r="J59" i="39"/>
  <c r="V65" i="39"/>
  <c r="J67" i="39"/>
  <c r="J77" i="39"/>
  <c r="J85" i="39"/>
  <c r="V89" i="39"/>
  <c r="J93" i="39"/>
  <c r="V97" i="39"/>
  <c r="J99" i="39"/>
  <c r="L105" i="39"/>
  <c r="V109" i="39"/>
  <c r="F18" i="40"/>
  <c r="V18" i="40"/>
  <c r="R24" i="40"/>
  <c r="V15" i="41"/>
  <c r="T18" i="41"/>
  <c r="R21" i="41"/>
  <c r="V25" i="41"/>
  <c r="V29" i="41"/>
  <c r="V33" i="41"/>
  <c r="V36" i="41"/>
  <c r="J19" i="42"/>
  <c r="R23" i="42"/>
  <c r="J25" i="42"/>
  <c r="J27" i="42"/>
  <c r="V31" i="42"/>
  <c r="R32" i="42"/>
  <c r="J35" i="42"/>
  <c r="J39" i="42"/>
  <c r="V43" i="42"/>
  <c r="R44" i="42"/>
  <c r="V47" i="42"/>
  <c r="R48" i="42"/>
  <c r="J49" i="42"/>
  <c r="R53" i="42"/>
  <c r="J55" i="42"/>
  <c r="V59" i="42"/>
  <c r="J63" i="42"/>
  <c r="V67" i="42"/>
  <c r="V71" i="42"/>
  <c r="V75" i="42"/>
  <c r="R76" i="42"/>
  <c r="V79" i="42"/>
  <c r="V83" i="42"/>
  <c r="R84" i="42"/>
  <c r="V100" i="42"/>
  <c r="Z47" i="48"/>
  <c r="N49" i="48"/>
  <c r="L67" i="51"/>
  <c r="N67" i="51" s="1"/>
  <c r="N73" i="51"/>
  <c r="N13" i="53"/>
  <c r="L13" i="53"/>
  <c r="Z12" i="36"/>
  <c r="V32" i="36"/>
  <c r="J36" i="36"/>
  <c r="J40" i="36"/>
  <c r="V44" i="36"/>
  <c r="J48" i="36"/>
  <c r="V52" i="36"/>
  <c r="J54" i="36"/>
  <c r="J60" i="36"/>
  <c r="V64" i="36"/>
  <c r="J68" i="36"/>
  <c r="V72" i="36"/>
  <c r="J76" i="36"/>
  <c r="J80" i="36"/>
  <c r="V84" i="36"/>
  <c r="J88" i="36"/>
  <c r="V92" i="36"/>
  <c r="J96" i="36"/>
  <c r="J100" i="36"/>
  <c r="V104" i="36"/>
  <c r="J109" i="36"/>
  <c r="V110" i="36"/>
  <c r="F21" i="37"/>
  <c r="V21" i="37"/>
  <c r="R27" i="37"/>
  <c r="R31" i="37"/>
  <c r="R34" i="37"/>
  <c r="V18" i="38"/>
  <c r="J22" i="38"/>
  <c r="R24" i="38"/>
  <c r="N12" i="39"/>
  <c r="J22" i="39"/>
  <c r="V24" i="39"/>
  <c r="J30" i="39"/>
  <c r="V34" i="39"/>
  <c r="V38" i="39"/>
  <c r="J42" i="39"/>
  <c r="V46" i="39"/>
  <c r="J48" i="39"/>
  <c r="V54" i="39"/>
  <c r="V58" i="39"/>
  <c r="J62" i="39"/>
  <c r="V66" i="39"/>
  <c r="J70" i="39"/>
  <c r="J74" i="39"/>
  <c r="J78" i="39"/>
  <c r="J82" i="39"/>
  <c r="J86" i="39"/>
  <c r="V90" i="39"/>
  <c r="V94" i="39"/>
  <c r="V98" i="39"/>
  <c r="J103" i="39"/>
  <c r="V104" i="39"/>
  <c r="H107" i="39"/>
  <c r="F21" i="40"/>
  <c r="V21" i="40"/>
  <c r="R27" i="40"/>
  <c r="R31" i="40"/>
  <c r="R34" i="40"/>
  <c r="N12" i="41"/>
  <c r="V18" i="41"/>
  <c r="J22" i="41"/>
  <c r="R24" i="41"/>
  <c r="N12" i="42"/>
  <c r="R18" i="42"/>
  <c r="J20" i="42"/>
  <c r="T23" i="42"/>
  <c r="R26" i="42"/>
  <c r="J28" i="42"/>
  <c r="V32" i="42"/>
  <c r="R33" i="42"/>
  <c r="V36" i="42"/>
  <c r="R37" i="42"/>
  <c r="J40" i="42"/>
  <c r="V44" i="42"/>
  <c r="R45" i="42"/>
  <c r="V48" i="42"/>
  <c r="J52" i="42"/>
  <c r="V56" i="42"/>
  <c r="R57" i="42"/>
  <c r="J58" i="42"/>
  <c r="R62" i="42"/>
  <c r="V64" i="42"/>
  <c r="R65" i="42"/>
  <c r="J66" i="42"/>
  <c r="V76" i="42"/>
  <c r="R77" i="42"/>
  <c r="J78" i="42"/>
  <c r="V84" i="42"/>
  <c r="V93" i="42"/>
  <c r="N13" i="44"/>
  <c r="L13" i="44"/>
  <c r="F22" i="48"/>
  <c r="L68" i="48"/>
  <c r="N68" i="48" s="1"/>
  <c r="D67" i="48"/>
  <c r="L67" i="48" s="1"/>
  <c r="N67" i="48" s="1"/>
  <c r="X65" i="51"/>
  <c r="Z65" i="51" s="1"/>
  <c r="T27" i="53"/>
  <c r="J81" i="36"/>
  <c r="J89" i="36"/>
  <c r="V93" i="36"/>
  <c r="J97" i="36"/>
  <c r="V101" i="36"/>
  <c r="J103" i="36"/>
  <c r="F24" i="37"/>
  <c r="V24" i="37"/>
  <c r="V21" i="38"/>
  <c r="J25" i="38"/>
  <c r="R27" i="38"/>
  <c r="J29" i="38"/>
  <c r="R31" i="38"/>
  <c r="J33" i="38"/>
  <c r="R34" i="38"/>
  <c r="J36" i="38"/>
  <c r="V27" i="39"/>
  <c r="J31" i="39"/>
  <c r="V35" i="39"/>
  <c r="J37" i="39"/>
  <c r="V39" i="39"/>
  <c r="J43" i="39"/>
  <c r="V47" i="39"/>
  <c r="J51" i="39"/>
  <c r="V55" i="39"/>
  <c r="J57" i="39"/>
  <c r="V63" i="39"/>
  <c r="J65" i="39"/>
  <c r="J71" i="39"/>
  <c r="V75" i="39"/>
  <c r="J79" i="39"/>
  <c r="V83" i="39"/>
  <c r="J87" i="39"/>
  <c r="V91" i="39"/>
  <c r="V95" i="39"/>
  <c r="J97" i="39"/>
  <c r="J107" i="39"/>
  <c r="F24" i="40"/>
  <c r="V24" i="40"/>
  <c r="V21" i="41"/>
  <c r="J25" i="41"/>
  <c r="R27" i="41"/>
  <c r="J29" i="41"/>
  <c r="R31" i="41"/>
  <c r="J33" i="41"/>
  <c r="R34" i="41"/>
  <c r="J36" i="41"/>
  <c r="R96" i="42"/>
  <c r="R93" i="42"/>
  <c r="R99" i="42"/>
  <c r="R95" i="42"/>
  <c r="R101" i="42"/>
  <c r="R89" i="42"/>
  <c r="R92" i="42"/>
  <c r="R88" i="42"/>
  <c r="R105" i="42"/>
  <c r="R90" i="42"/>
  <c r="V23" i="42"/>
  <c r="J29" i="42"/>
  <c r="V33" i="42"/>
  <c r="R34" i="42"/>
  <c r="V37" i="42"/>
  <c r="R38" i="42"/>
  <c r="J41" i="42"/>
  <c r="V45" i="42"/>
  <c r="R46" i="42"/>
  <c r="J47" i="42"/>
  <c r="R51" i="42"/>
  <c r="V53" i="42"/>
  <c r="R54" i="42"/>
  <c r="V57" i="42"/>
  <c r="J61" i="42"/>
  <c r="V65" i="42"/>
  <c r="J69" i="42"/>
  <c r="J73" i="42"/>
  <c r="V77" i="42"/>
  <c r="J81" i="42"/>
  <c r="R86" i="42"/>
  <c r="R87" i="42"/>
  <c r="F72" i="48"/>
  <c r="F60" i="48"/>
  <c r="F56" i="48"/>
  <c r="F51" i="48"/>
  <c r="F48" i="48"/>
  <c r="F43" i="48"/>
  <c r="F40" i="48"/>
  <c r="F32" i="48"/>
  <c r="F28" i="48"/>
  <c r="F19" i="48"/>
  <c r="F15" i="48"/>
  <c r="F63" i="48"/>
  <c r="F39" i="48"/>
  <c r="F31" i="48"/>
  <c r="F27" i="48"/>
  <c r="F67" i="48"/>
  <c r="F62" i="48"/>
  <c r="F53" i="48"/>
  <c r="F50" i="48"/>
  <c r="F45" i="48"/>
  <c r="F42" i="48"/>
  <c r="F38" i="48"/>
  <c r="F26" i="48"/>
  <c r="F65" i="48"/>
  <c r="F37" i="48"/>
  <c r="F25" i="48"/>
  <c r="F20" i="48"/>
  <c r="F59" i="48"/>
  <c r="F55" i="48"/>
  <c r="F52" i="48"/>
  <c r="F47" i="48"/>
  <c r="F44" i="48"/>
  <c r="F36" i="48"/>
  <c r="F24" i="48"/>
  <c r="F68" i="48"/>
  <c r="F35" i="48"/>
  <c r="F30" i="48"/>
  <c r="F23" i="48"/>
  <c r="D17" i="48"/>
  <c r="F17" i="48" s="1"/>
  <c r="F64" i="48"/>
  <c r="F57" i="48"/>
  <c r="F33" i="48"/>
  <c r="F29" i="48"/>
  <c r="F21" i="48"/>
  <c r="X20" i="48"/>
  <c r="Z20" i="48" s="1"/>
  <c r="R20" i="48"/>
  <c r="F61" i="48"/>
  <c r="Z57" i="51"/>
  <c r="X57" i="51"/>
  <c r="L59" i="51"/>
  <c r="N59" i="51" s="1"/>
  <c r="Z21" i="52"/>
  <c r="X21" i="52"/>
  <c r="L29" i="59"/>
  <c r="N29" i="59" s="1"/>
  <c r="J22" i="36"/>
  <c r="T25" i="36"/>
  <c r="J30" i="36"/>
  <c r="V34" i="36"/>
  <c r="J38" i="36"/>
  <c r="J42" i="36"/>
  <c r="V46" i="36"/>
  <c r="V50" i="36"/>
  <c r="J52" i="36"/>
  <c r="J58" i="36"/>
  <c r="V62" i="36"/>
  <c r="J66" i="36"/>
  <c r="V70" i="36"/>
  <c r="J74" i="36"/>
  <c r="J78" i="36"/>
  <c r="J82" i="36"/>
  <c r="J86" i="36"/>
  <c r="J90" i="36"/>
  <c r="V94" i="36"/>
  <c r="V98" i="36"/>
  <c r="V102" i="36"/>
  <c r="J106" i="36"/>
  <c r="V108" i="36"/>
  <c r="X12" i="37"/>
  <c r="F27" i="37"/>
  <c r="V27" i="37"/>
  <c r="F31" i="37"/>
  <c r="V31" i="37"/>
  <c r="F34" i="37"/>
  <c r="V34" i="37"/>
  <c r="L15" i="38"/>
  <c r="R16" i="38"/>
  <c r="J18" i="38"/>
  <c r="R20" i="38"/>
  <c r="X21" i="38"/>
  <c r="V24" i="38"/>
  <c r="L25" i="38"/>
  <c r="L29" i="38"/>
  <c r="V20" i="39"/>
  <c r="V28" i="39"/>
  <c r="J32" i="39"/>
  <c r="V36" i="39"/>
  <c r="V40" i="39"/>
  <c r="J44" i="39"/>
  <c r="V52" i="39"/>
  <c r="J54" i="39"/>
  <c r="V56" i="39"/>
  <c r="J60" i="39"/>
  <c r="V64" i="39"/>
  <c r="J68" i="39"/>
  <c r="J72" i="39"/>
  <c r="V76" i="39"/>
  <c r="J80" i="39"/>
  <c r="V84" i="39"/>
  <c r="J88" i="39"/>
  <c r="V92" i="39"/>
  <c r="J94" i="39"/>
  <c r="V96" i="39"/>
  <c r="J100" i="39"/>
  <c r="V102" i="39"/>
  <c r="X12" i="40"/>
  <c r="F27" i="40"/>
  <c r="V27" i="40"/>
  <c r="F31" i="40"/>
  <c r="V31" i="40"/>
  <c r="F34" i="40"/>
  <c r="V34" i="40"/>
  <c r="R16" i="41"/>
  <c r="J18" i="41"/>
  <c r="R20" i="41"/>
  <c r="V24" i="41"/>
  <c r="V99" i="42"/>
  <c r="V95" i="42"/>
  <c r="V101" i="42"/>
  <c r="V89" i="42"/>
  <c r="V98" i="42"/>
  <c r="V92" i="42"/>
  <c r="V88" i="42"/>
  <c r="V91" i="42"/>
  <c r="V87" i="42"/>
  <c r="V96" i="42"/>
  <c r="V18" i="42"/>
  <c r="R19" i="42"/>
  <c r="H23" i="42"/>
  <c r="V26" i="42"/>
  <c r="R27" i="42"/>
  <c r="J30" i="42"/>
  <c r="V34" i="42"/>
  <c r="R35" i="42"/>
  <c r="J36" i="42"/>
  <c r="V38" i="42"/>
  <c r="R39" i="42"/>
  <c r="J42" i="42"/>
  <c r="V46" i="42"/>
  <c r="L47" i="42"/>
  <c r="J50" i="42"/>
  <c r="X53" i="42"/>
  <c r="Z53" i="42" s="1"/>
  <c r="V54" i="42"/>
  <c r="R55" i="42"/>
  <c r="J56" i="42"/>
  <c r="R60" i="42"/>
  <c r="V62" i="42"/>
  <c r="R63" i="42"/>
  <c r="J64" i="42"/>
  <c r="R68" i="42"/>
  <c r="J70" i="42"/>
  <c r="R72" i="42"/>
  <c r="J74" i="42"/>
  <c r="R80" i="42"/>
  <c r="J82" i="42"/>
  <c r="V86" i="42"/>
  <c r="R91" i="42"/>
  <c r="J95" i="42"/>
  <c r="N90" i="45"/>
  <c r="L90" i="45"/>
  <c r="N15" i="46"/>
  <c r="H18" i="46"/>
  <c r="L15" i="51"/>
  <c r="D12" i="51"/>
  <c r="N25" i="53"/>
  <c r="L25" i="53"/>
  <c r="Z14" i="57"/>
  <c r="X14" i="57"/>
  <c r="N47" i="58"/>
  <c r="L47" i="58"/>
  <c r="J23" i="36"/>
  <c r="V25" i="36"/>
  <c r="J31" i="36"/>
  <c r="V35" i="36"/>
  <c r="V39" i="36"/>
  <c r="J43" i="36"/>
  <c r="V47" i="36"/>
  <c r="V51" i="36"/>
  <c r="J55" i="36"/>
  <c r="V59" i="36"/>
  <c r="J61" i="36"/>
  <c r="V67" i="36"/>
  <c r="J69" i="36"/>
  <c r="V75" i="36"/>
  <c r="V79" i="36"/>
  <c r="J83" i="36"/>
  <c r="V87" i="36"/>
  <c r="J91" i="36"/>
  <c r="V95" i="36"/>
  <c r="V99" i="36"/>
  <c r="J101" i="36"/>
  <c r="J110" i="36"/>
  <c r="V111" i="36"/>
  <c r="Z12" i="37"/>
  <c r="F16" i="37"/>
  <c r="V16" i="37"/>
  <c r="V27" i="38"/>
  <c r="V31" i="38"/>
  <c r="J19" i="39"/>
  <c r="V21" i="39"/>
  <c r="J27" i="39"/>
  <c r="V29" i="39"/>
  <c r="J33" i="39"/>
  <c r="V41" i="39"/>
  <c r="J45" i="39"/>
  <c r="J49" i="39"/>
  <c r="V53" i="39"/>
  <c r="V61" i="39"/>
  <c r="J63" i="39"/>
  <c r="V69" i="39"/>
  <c r="V73" i="39"/>
  <c r="J75" i="39"/>
  <c r="V77" i="39"/>
  <c r="V81" i="39"/>
  <c r="J83" i="39"/>
  <c r="V85" i="39"/>
  <c r="J89" i="39"/>
  <c r="V93" i="39"/>
  <c r="J104" i="39"/>
  <c r="V105" i="39"/>
  <c r="Z12" i="40"/>
  <c r="F16" i="40"/>
  <c r="V16" i="40"/>
  <c r="V27" i="41"/>
  <c r="V31" i="41"/>
  <c r="X12" i="42"/>
  <c r="Z12" i="42" s="1"/>
  <c r="V19" i="42"/>
  <c r="R20" i="42"/>
  <c r="J23" i="42"/>
  <c r="R25" i="42"/>
  <c r="V27" i="42"/>
  <c r="R28" i="42"/>
  <c r="J31" i="42"/>
  <c r="V35" i="42"/>
  <c r="V39" i="42"/>
  <c r="R40" i="42"/>
  <c r="J43" i="42"/>
  <c r="R49" i="42"/>
  <c r="V51" i="42"/>
  <c r="R52" i="42"/>
  <c r="J53" i="42"/>
  <c r="V55" i="42"/>
  <c r="J59" i="42"/>
  <c r="V63" i="42"/>
  <c r="J67" i="42"/>
  <c r="J71" i="42"/>
  <c r="J75" i="42"/>
  <c r="J79" i="42"/>
  <c r="J83" i="42"/>
  <c r="J89" i="42"/>
  <c r="X90" i="42"/>
  <c r="Z90" i="42" s="1"/>
  <c r="R18" i="43"/>
  <c r="R36" i="43"/>
  <c r="R33" i="43"/>
  <c r="R29" i="43"/>
  <c r="R25" i="43"/>
  <c r="P18" i="43"/>
  <c r="R15" i="43"/>
  <c r="R22" i="43"/>
  <c r="X12" i="43"/>
  <c r="R20" i="43"/>
  <c r="R16" i="43"/>
  <c r="R34" i="43"/>
  <c r="R31" i="43"/>
  <c r="R27" i="43"/>
  <c r="R21" i="43"/>
  <c r="L25" i="43"/>
  <c r="L29" i="43"/>
  <c r="L33" i="43"/>
  <c r="Z52" i="45"/>
  <c r="N54" i="45"/>
  <c r="Z60" i="45"/>
  <c r="N62" i="45"/>
  <c r="X88" i="45"/>
  <c r="Z88" i="45" s="1"/>
  <c r="Z30" i="48"/>
  <c r="V30" i="48"/>
  <c r="L64" i="48"/>
  <c r="N64" i="48" s="1"/>
  <c r="P74" i="48"/>
  <c r="N34" i="50"/>
  <c r="L34" i="50"/>
  <c r="Z33" i="51"/>
  <c r="N22" i="53"/>
  <c r="L22" i="53"/>
  <c r="J72" i="57"/>
  <c r="J65" i="57"/>
  <c r="J55" i="57"/>
  <c r="J43" i="57"/>
  <c r="J35" i="57"/>
  <c r="J29" i="57"/>
  <c r="J23" i="57"/>
  <c r="H16" i="57"/>
  <c r="J60" i="57"/>
  <c r="J52" i="57"/>
  <c r="J48" i="57"/>
  <c r="J40" i="57"/>
  <c r="J34" i="57"/>
  <c r="J22" i="57"/>
  <c r="J57" i="57"/>
  <c r="J45" i="57"/>
  <c r="J33" i="57"/>
  <c r="J21" i="57"/>
  <c r="J54" i="57"/>
  <c r="J42" i="57"/>
  <c r="J32" i="57"/>
  <c r="J28" i="57"/>
  <c r="J20" i="57"/>
  <c r="J18" i="57"/>
  <c r="J14" i="57"/>
  <c r="N12" i="57"/>
  <c r="J69" i="57"/>
  <c r="J63" i="57"/>
  <c r="J59" i="57"/>
  <c r="J51" i="57"/>
  <c r="J47" i="57"/>
  <c r="J39" i="57"/>
  <c r="J31" i="57"/>
  <c r="J27" i="57"/>
  <c r="J58" i="57"/>
  <c r="J46" i="57"/>
  <c r="J36" i="57"/>
  <c r="J24" i="57"/>
  <c r="J16" i="57"/>
  <c r="J67" i="57"/>
  <c r="J50" i="57"/>
  <c r="J37" i="57"/>
  <c r="J25" i="57"/>
  <c r="J19" i="57"/>
  <c r="J38" i="57"/>
  <c r="J30" i="57"/>
  <c r="J26" i="57"/>
  <c r="J56" i="57"/>
  <c r="J44" i="57"/>
  <c r="J53" i="57"/>
  <c r="J49" i="57"/>
  <c r="J41" i="57"/>
  <c r="Z16" i="60"/>
  <c r="T58" i="60"/>
  <c r="L12" i="43"/>
  <c r="F15" i="43"/>
  <c r="V15" i="43"/>
  <c r="D18" i="43"/>
  <c r="T18" i="43"/>
  <c r="F25" i="43"/>
  <c r="V25" i="43"/>
  <c r="F29" i="43"/>
  <c r="V29" i="43"/>
  <c r="F33" i="43"/>
  <c r="V33" i="43"/>
  <c r="F36" i="43"/>
  <c r="V36" i="43"/>
  <c r="J16" i="44"/>
  <c r="Z16" i="44"/>
  <c r="R18" i="44"/>
  <c r="J20" i="44"/>
  <c r="F22" i="44"/>
  <c r="V22" i="44"/>
  <c r="V30" i="45"/>
  <c r="J34" i="45"/>
  <c r="J38" i="45"/>
  <c r="V42" i="45"/>
  <c r="J46" i="45"/>
  <c r="V50" i="45"/>
  <c r="J52" i="45"/>
  <c r="V58" i="45"/>
  <c r="J60" i="45"/>
  <c r="V66" i="45"/>
  <c r="J68" i="45"/>
  <c r="V70" i="45"/>
  <c r="J72" i="45"/>
  <c r="V74" i="45"/>
  <c r="V78" i="45"/>
  <c r="J82" i="45"/>
  <c r="J86" i="45"/>
  <c r="V90" i="45"/>
  <c r="T95" i="45"/>
  <c r="L12" i="46"/>
  <c r="F15" i="46"/>
  <c r="V15" i="46"/>
  <c r="D18" i="46"/>
  <c r="T18" i="46"/>
  <c r="R21" i="46"/>
  <c r="F25" i="46"/>
  <c r="V25" i="46"/>
  <c r="F29" i="46"/>
  <c r="V29" i="46"/>
  <c r="F33" i="46"/>
  <c r="V33" i="46"/>
  <c r="F36" i="46"/>
  <c r="V36" i="46"/>
  <c r="J16" i="47"/>
  <c r="J20" i="47"/>
  <c r="F22" i="47"/>
  <c r="V22" i="47"/>
  <c r="V24" i="48"/>
  <c r="R25" i="48"/>
  <c r="J28" i="48"/>
  <c r="R30" i="48"/>
  <c r="J32" i="48"/>
  <c r="V36" i="48"/>
  <c r="R37" i="48"/>
  <c r="J40" i="48"/>
  <c r="V44" i="48"/>
  <c r="J48" i="48"/>
  <c r="V52" i="48"/>
  <c r="J56" i="48"/>
  <c r="J60" i="48"/>
  <c r="V64" i="48"/>
  <c r="R65" i="48"/>
  <c r="V68" i="48"/>
  <c r="J72" i="48"/>
  <c r="Z12" i="49"/>
  <c r="V16" i="49"/>
  <c r="V20" i="49"/>
  <c r="R22" i="49"/>
  <c r="J24" i="49"/>
  <c r="X12" i="50"/>
  <c r="J21" i="50"/>
  <c r="F27" i="50"/>
  <c r="V27" i="50"/>
  <c r="F31" i="50"/>
  <c r="V31" i="50"/>
  <c r="F34" i="50"/>
  <c r="V34" i="50"/>
  <c r="X12" i="51"/>
  <c r="Z12" i="51" s="1"/>
  <c r="V19" i="51"/>
  <c r="R20" i="51"/>
  <c r="J23" i="51"/>
  <c r="V27" i="51"/>
  <c r="R28" i="51"/>
  <c r="J33" i="51"/>
  <c r="V35" i="51"/>
  <c r="R36" i="51"/>
  <c r="J39" i="51"/>
  <c r="V43" i="51"/>
  <c r="V47" i="51"/>
  <c r="R48" i="51"/>
  <c r="J51" i="51"/>
  <c r="R57" i="51"/>
  <c r="V59" i="51"/>
  <c r="R60" i="51"/>
  <c r="J61" i="51"/>
  <c r="R65" i="51"/>
  <c r="V67" i="51"/>
  <c r="R68" i="51"/>
  <c r="V71" i="51"/>
  <c r="J76" i="51"/>
  <c r="R80" i="51"/>
  <c r="L12" i="52"/>
  <c r="F15" i="52"/>
  <c r="V15" i="52"/>
  <c r="D18" i="52"/>
  <c r="T18" i="52"/>
  <c r="R21" i="52"/>
  <c r="F25" i="52"/>
  <c r="V25" i="52"/>
  <c r="F29" i="52"/>
  <c r="V29" i="52"/>
  <c r="F33" i="52"/>
  <c r="V33" i="52"/>
  <c r="F36" i="52"/>
  <c r="V36" i="52"/>
  <c r="J16" i="53"/>
  <c r="R18" i="53"/>
  <c r="J20" i="53"/>
  <c r="F22" i="53"/>
  <c r="V22" i="53"/>
  <c r="V27" i="53"/>
  <c r="R29" i="53"/>
  <c r="J34" i="53"/>
  <c r="Z12" i="54"/>
  <c r="L29" i="54"/>
  <c r="N29" i="54" s="1"/>
  <c r="V35" i="55"/>
  <c r="V29" i="55"/>
  <c r="V19" i="55"/>
  <c r="V21" i="55"/>
  <c r="T16" i="55"/>
  <c r="V24" i="55"/>
  <c r="V38" i="55"/>
  <c r="V33" i="55"/>
  <c r="V31" i="55"/>
  <c r="V27" i="55"/>
  <c r="V23" i="55"/>
  <c r="V20" i="55"/>
  <c r="Z12" i="55"/>
  <c r="V14" i="55"/>
  <c r="N19" i="55"/>
  <c r="Z21" i="55"/>
  <c r="J26" i="56"/>
  <c r="J30" i="56"/>
  <c r="L42" i="56"/>
  <c r="N42" i="56" s="1"/>
  <c r="J44" i="56"/>
  <c r="Z55" i="56"/>
  <c r="F36" i="57"/>
  <c r="F24" i="57"/>
  <c r="F19" i="57"/>
  <c r="F58" i="57"/>
  <c r="F55" i="57"/>
  <c r="F46" i="57"/>
  <c r="F43" i="57"/>
  <c r="F35" i="57"/>
  <c r="F23" i="57"/>
  <c r="F16" i="57"/>
  <c r="F72" i="57"/>
  <c r="F65" i="57"/>
  <c r="F34" i="57"/>
  <c r="F29" i="57"/>
  <c r="F22" i="57"/>
  <c r="D16" i="57"/>
  <c r="F60" i="57"/>
  <c r="F57" i="57"/>
  <c r="F52" i="57"/>
  <c r="F48" i="57"/>
  <c r="F45" i="57"/>
  <c r="F40" i="57"/>
  <c r="F33" i="57"/>
  <c r="F21" i="57"/>
  <c r="F32" i="57"/>
  <c r="F28" i="57"/>
  <c r="F20" i="57"/>
  <c r="L12" i="57"/>
  <c r="F67" i="57"/>
  <c r="F61" i="57"/>
  <c r="F56" i="57"/>
  <c r="F53" i="57"/>
  <c r="F49" i="57"/>
  <c r="F44" i="57"/>
  <c r="F41" i="57"/>
  <c r="F37" i="57"/>
  <c r="F25" i="57"/>
  <c r="X42" i="57"/>
  <c r="Z42" i="57" s="1"/>
  <c r="X54" i="57"/>
  <c r="Z54" i="57" s="1"/>
  <c r="X18" i="58"/>
  <c r="Z18" i="58" s="1"/>
  <c r="F37" i="58"/>
  <c r="F38" i="58"/>
  <c r="N43" i="58"/>
  <c r="X57" i="58"/>
  <c r="Z57" i="58" s="1"/>
  <c r="V16" i="59"/>
  <c r="L54" i="59"/>
  <c r="L18" i="60"/>
  <c r="V48" i="45"/>
  <c r="J50" i="45"/>
  <c r="V56" i="45"/>
  <c r="J58" i="45"/>
  <c r="V64" i="45"/>
  <c r="J66" i="45"/>
  <c r="V76" i="45"/>
  <c r="V80" i="45"/>
  <c r="J84" i="45"/>
  <c r="V88" i="45"/>
  <c r="J90" i="45"/>
  <c r="R27" i="46"/>
  <c r="R31" i="46"/>
  <c r="R34" i="46"/>
  <c r="J54" i="48"/>
  <c r="J58" i="48"/>
  <c r="V62" i="48"/>
  <c r="R63" i="48"/>
  <c r="J64" i="48"/>
  <c r="R70" i="48"/>
  <c r="J16" i="49"/>
  <c r="J20" i="49"/>
  <c r="R38" i="51"/>
  <c r="J45" i="51"/>
  <c r="V49" i="51"/>
  <c r="R50" i="51"/>
  <c r="J53" i="51"/>
  <c r="R55" i="51"/>
  <c r="V57" i="51"/>
  <c r="R58" i="51"/>
  <c r="J59" i="51"/>
  <c r="R63" i="51"/>
  <c r="V65" i="51"/>
  <c r="R66" i="51"/>
  <c r="J67" i="51"/>
  <c r="V69" i="51"/>
  <c r="R73" i="51"/>
  <c r="J74" i="51"/>
  <c r="V75" i="51"/>
  <c r="R27" i="52"/>
  <c r="R31" i="52"/>
  <c r="R34" i="52"/>
  <c r="H22" i="54"/>
  <c r="N16" i="54"/>
  <c r="N20" i="54"/>
  <c r="L20" i="54"/>
  <c r="Z25" i="55"/>
  <c r="X18" i="57"/>
  <c r="Z18" i="57" s="1"/>
  <c r="N44" i="57"/>
  <c r="L44" i="57"/>
  <c r="Z46" i="57"/>
  <c r="L56" i="57"/>
  <c r="N56" i="57" s="1"/>
  <c r="X53" i="58"/>
  <c r="Z53" i="58" s="1"/>
  <c r="P16" i="59"/>
  <c r="X14" i="59"/>
  <c r="N54" i="59"/>
  <c r="N18" i="60"/>
  <c r="Z73" i="65"/>
  <c r="X73" i="65"/>
  <c r="J18" i="43"/>
  <c r="F24" i="43"/>
  <c r="V24" i="43"/>
  <c r="J15" i="44"/>
  <c r="H18" i="44"/>
  <c r="F21" i="44"/>
  <c r="V21" i="44"/>
  <c r="J25" i="44"/>
  <c r="R27" i="44"/>
  <c r="J29" i="44"/>
  <c r="R31" i="44"/>
  <c r="J33" i="44"/>
  <c r="R34" i="44"/>
  <c r="J36" i="44"/>
  <c r="P12" i="45"/>
  <c r="J21" i="45"/>
  <c r="V23" i="45"/>
  <c r="J29" i="45"/>
  <c r="V33" i="45"/>
  <c r="V37" i="45"/>
  <c r="J41" i="45"/>
  <c r="V45" i="45"/>
  <c r="V49" i="45"/>
  <c r="J53" i="45"/>
  <c r="V57" i="45"/>
  <c r="J61" i="45"/>
  <c r="V65" i="45"/>
  <c r="J69" i="45"/>
  <c r="J73" i="45"/>
  <c r="V81" i="45"/>
  <c r="V85" i="45"/>
  <c r="V89" i="45"/>
  <c r="R16" i="46"/>
  <c r="J18" i="46"/>
  <c r="R20" i="46"/>
  <c r="F24" i="46"/>
  <c r="V24" i="46"/>
  <c r="J15" i="47"/>
  <c r="H18" i="47"/>
  <c r="F21" i="47"/>
  <c r="V21" i="47"/>
  <c r="J25" i="47"/>
  <c r="R27" i="47"/>
  <c r="J29" i="47"/>
  <c r="R31" i="47"/>
  <c r="J33" i="47"/>
  <c r="R34" i="47"/>
  <c r="J36" i="47"/>
  <c r="V17" i="48"/>
  <c r="J23" i="48"/>
  <c r="V27" i="48"/>
  <c r="R28" i="48"/>
  <c r="V31" i="48"/>
  <c r="R32" i="48"/>
  <c r="J35" i="48"/>
  <c r="V39" i="48"/>
  <c r="R40" i="48"/>
  <c r="J41" i="48"/>
  <c r="R45" i="48"/>
  <c r="V47" i="48"/>
  <c r="R48" i="48"/>
  <c r="J49" i="48"/>
  <c r="R53" i="48"/>
  <c r="V55" i="48"/>
  <c r="R56" i="48"/>
  <c r="V59" i="48"/>
  <c r="R60" i="48"/>
  <c r="J61" i="48"/>
  <c r="V63" i="48"/>
  <c r="R67" i="48"/>
  <c r="J68" i="48"/>
  <c r="T70" i="48"/>
  <c r="X70" i="48" s="1"/>
  <c r="R72" i="48"/>
  <c r="V15" i="49"/>
  <c r="T18" i="49"/>
  <c r="R21" i="49"/>
  <c r="V25" i="49"/>
  <c r="V29" i="49"/>
  <c r="V33" i="49"/>
  <c r="V36" i="49"/>
  <c r="J16" i="50"/>
  <c r="R18" i="50"/>
  <c r="J20" i="50"/>
  <c r="F22" i="50"/>
  <c r="V22" i="50"/>
  <c r="V22" i="51"/>
  <c r="R23" i="51"/>
  <c r="J26" i="51"/>
  <c r="R30" i="51"/>
  <c r="J32" i="51"/>
  <c r="J34" i="51"/>
  <c r="V38" i="51"/>
  <c r="R39" i="51"/>
  <c r="J42" i="51"/>
  <c r="R44" i="51"/>
  <c r="J46" i="51"/>
  <c r="V50" i="51"/>
  <c r="R51" i="51"/>
  <c r="J54" i="51"/>
  <c r="V58" i="51"/>
  <c r="J62" i="51"/>
  <c r="V66" i="51"/>
  <c r="R82" i="51"/>
  <c r="R16" i="52"/>
  <c r="J18" i="52"/>
  <c r="R20" i="52"/>
  <c r="F24" i="52"/>
  <c r="V24" i="52"/>
  <c r="H18" i="53"/>
  <c r="L18" i="53" s="1"/>
  <c r="F21" i="53"/>
  <c r="R34" i="53"/>
  <c r="J35" i="55"/>
  <c r="Z48" i="56"/>
  <c r="Z29" i="57"/>
  <c r="N40" i="57"/>
  <c r="N48" i="57"/>
  <c r="N52" i="57"/>
  <c r="F25" i="58"/>
  <c r="V30" i="59"/>
  <c r="V31" i="59"/>
  <c r="X47" i="59"/>
  <c r="Z47" i="59" s="1"/>
  <c r="T33" i="64"/>
  <c r="J21" i="43"/>
  <c r="F27" i="43"/>
  <c r="V27" i="43"/>
  <c r="F31" i="43"/>
  <c r="V31" i="43"/>
  <c r="F34" i="43"/>
  <c r="V34" i="43"/>
  <c r="R16" i="44"/>
  <c r="J18" i="44"/>
  <c r="R20" i="44"/>
  <c r="F24" i="44"/>
  <c r="V24" i="44"/>
  <c r="V18" i="45"/>
  <c r="H23" i="45"/>
  <c r="V26" i="45"/>
  <c r="J30" i="45"/>
  <c r="V34" i="45"/>
  <c r="X37" i="45"/>
  <c r="Z37" i="45" s="1"/>
  <c r="V38" i="45"/>
  <c r="J42" i="45"/>
  <c r="V46" i="45"/>
  <c r="J48" i="45"/>
  <c r="V54" i="45"/>
  <c r="J56" i="45"/>
  <c r="V62" i="45"/>
  <c r="J64" i="45"/>
  <c r="J70" i="45"/>
  <c r="J74" i="45"/>
  <c r="J78" i="45"/>
  <c r="V82" i="45"/>
  <c r="V86" i="45"/>
  <c r="J88" i="45"/>
  <c r="X12" i="46"/>
  <c r="J21" i="46"/>
  <c r="F27" i="46"/>
  <c r="V27" i="46"/>
  <c r="F31" i="46"/>
  <c r="V31" i="46"/>
  <c r="F34" i="46"/>
  <c r="V34" i="46"/>
  <c r="R16" i="47"/>
  <c r="J18" i="47"/>
  <c r="R20" i="47"/>
  <c r="F24" i="47"/>
  <c r="V24" i="47"/>
  <c r="H17" i="48"/>
  <c r="V20" i="48"/>
  <c r="R21" i="48"/>
  <c r="J24" i="48"/>
  <c r="V28" i="48"/>
  <c r="R29" i="48"/>
  <c r="J30" i="48"/>
  <c r="V32" i="48"/>
  <c r="R33" i="48"/>
  <c r="J36" i="48"/>
  <c r="V40" i="48"/>
  <c r="J44" i="48"/>
  <c r="V48" i="48"/>
  <c r="J52" i="48"/>
  <c r="V56" i="48"/>
  <c r="R57" i="48"/>
  <c r="V60" i="48"/>
  <c r="V72" i="48"/>
  <c r="N12" i="49"/>
  <c r="V18" i="49"/>
  <c r="J22" i="49"/>
  <c r="R24" i="49"/>
  <c r="L12" i="50"/>
  <c r="F15" i="50"/>
  <c r="V15" i="50"/>
  <c r="D18" i="50"/>
  <c r="T18" i="50"/>
  <c r="R21" i="50"/>
  <c r="F25" i="50"/>
  <c r="V25" i="50"/>
  <c r="F29" i="50"/>
  <c r="V29" i="50"/>
  <c r="F33" i="50"/>
  <c r="V33" i="50"/>
  <c r="F36" i="50"/>
  <c r="V36" i="50"/>
  <c r="J19" i="51"/>
  <c r="V23" i="51"/>
  <c r="R24" i="51"/>
  <c r="J27" i="51"/>
  <c r="T30" i="51"/>
  <c r="R33" i="51"/>
  <c r="J35" i="51"/>
  <c r="V39" i="51"/>
  <c r="R40" i="51"/>
  <c r="J43" i="51"/>
  <c r="J47" i="51"/>
  <c r="V51" i="51"/>
  <c r="R52" i="51"/>
  <c r="V55" i="51"/>
  <c r="R56" i="51"/>
  <c r="J57" i="51"/>
  <c r="R61" i="51"/>
  <c r="V63" i="51"/>
  <c r="R64" i="51"/>
  <c r="J65" i="51"/>
  <c r="J71" i="51"/>
  <c r="V73" i="51"/>
  <c r="R76" i="51"/>
  <c r="X12" i="52"/>
  <c r="J21" i="52"/>
  <c r="X24" i="52"/>
  <c r="F27" i="52"/>
  <c r="V27" i="52"/>
  <c r="F31" i="52"/>
  <c r="V31" i="52"/>
  <c r="F34" i="52"/>
  <c r="V34" i="52"/>
  <c r="V36" i="53"/>
  <c r="V33" i="53"/>
  <c r="V29" i="53"/>
  <c r="V25" i="53"/>
  <c r="L15" i="53"/>
  <c r="R16" i="53"/>
  <c r="J18" i="53"/>
  <c r="R20" i="53"/>
  <c r="X21" i="53"/>
  <c r="F24" i="53"/>
  <c r="V24" i="53"/>
  <c r="J27" i="53"/>
  <c r="F31" i="53"/>
  <c r="R36" i="53"/>
  <c r="X16" i="55"/>
  <c r="X18" i="55"/>
  <c r="Z18" i="55" s="1"/>
  <c r="J22" i="55"/>
  <c r="J46" i="56"/>
  <c r="J36" i="56"/>
  <c r="J24" i="56"/>
  <c r="J16" i="56"/>
  <c r="J72" i="56"/>
  <c r="J65" i="56"/>
  <c r="J57" i="56"/>
  <c r="J51" i="56"/>
  <c r="J43" i="56"/>
  <c r="J35" i="56"/>
  <c r="J29" i="56"/>
  <c r="J23" i="56"/>
  <c r="H16" i="56"/>
  <c r="J60" i="56"/>
  <c r="J54" i="56"/>
  <c r="J48" i="56"/>
  <c r="J40" i="56"/>
  <c r="J34" i="56"/>
  <c r="J22" i="56"/>
  <c r="J53" i="56"/>
  <c r="J45" i="56"/>
  <c r="J33" i="56"/>
  <c r="J21" i="56"/>
  <c r="J56" i="56"/>
  <c r="J50" i="56"/>
  <c r="J42" i="56"/>
  <c r="J32" i="56"/>
  <c r="J28" i="56"/>
  <c r="J20" i="56"/>
  <c r="J18" i="56"/>
  <c r="J14" i="56"/>
  <c r="N12" i="56"/>
  <c r="J67" i="56"/>
  <c r="J61" i="56"/>
  <c r="J55" i="56"/>
  <c r="J49" i="56"/>
  <c r="J41" i="56"/>
  <c r="J37" i="56"/>
  <c r="J25" i="56"/>
  <c r="J19" i="56"/>
  <c r="N50" i="56"/>
  <c r="N63" i="56"/>
  <c r="L63" i="56"/>
  <c r="F51" i="57"/>
  <c r="F59" i="57"/>
  <c r="F69" i="57"/>
  <c r="F81" i="58"/>
  <c r="F74" i="58"/>
  <c r="F62" i="58"/>
  <c r="F59" i="58"/>
  <c r="F55" i="58"/>
  <c r="F35" i="58"/>
  <c r="F30" i="58"/>
  <c r="F23" i="58"/>
  <c r="F16" i="58"/>
  <c r="F69" i="58"/>
  <c r="F66" i="58"/>
  <c r="F58" i="58"/>
  <c r="F54" i="58"/>
  <c r="F49" i="58"/>
  <c r="F46" i="58"/>
  <c r="F41" i="58"/>
  <c r="F34" i="58"/>
  <c r="F22" i="58"/>
  <c r="D16" i="58"/>
  <c r="F65" i="58"/>
  <c r="F61" i="58"/>
  <c r="F33" i="58"/>
  <c r="F29" i="58"/>
  <c r="F21" i="58"/>
  <c r="F68" i="58"/>
  <c r="F64" i="58"/>
  <c r="F51" i="58"/>
  <c r="F48" i="58"/>
  <c r="F43" i="58"/>
  <c r="F40" i="58"/>
  <c r="F32" i="58"/>
  <c r="F28" i="58"/>
  <c r="F20" i="58"/>
  <c r="L12" i="58"/>
  <c r="F78" i="58"/>
  <c r="F72" i="58"/>
  <c r="F63" i="58"/>
  <c r="F39" i="58"/>
  <c r="F31" i="58"/>
  <c r="F27" i="58"/>
  <c r="F18" i="58"/>
  <c r="F14" i="58"/>
  <c r="F67" i="58"/>
  <c r="F56" i="58"/>
  <c r="F52" i="58"/>
  <c r="F47" i="58"/>
  <c r="F44" i="58"/>
  <c r="F36" i="58"/>
  <c r="F24" i="58"/>
  <c r="F19" i="58"/>
  <c r="F45" i="58"/>
  <c r="L67" i="58"/>
  <c r="N67" i="58" s="1"/>
  <c r="Z69" i="58"/>
  <c r="V64" i="59"/>
  <c r="V58" i="59"/>
  <c r="V44" i="59"/>
  <c r="V40" i="59"/>
  <c r="V36" i="59"/>
  <c r="V24" i="59"/>
  <c r="V51" i="59"/>
  <c r="V43" i="59"/>
  <c r="V35" i="59"/>
  <c r="V23" i="59"/>
  <c r="V50" i="59"/>
  <c r="V46" i="59"/>
  <c r="V42" i="59"/>
  <c r="V34" i="59"/>
  <c r="V22" i="59"/>
  <c r="V18" i="59"/>
  <c r="V14" i="59"/>
  <c r="V53" i="59"/>
  <c r="V49" i="59"/>
  <c r="V45" i="59"/>
  <c r="V33" i="59"/>
  <c r="V21" i="59"/>
  <c r="V67" i="59"/>
  <c r="V62" i="59"/>
  <c r="V60" i="59"/>
  <c r="V56" i="59"/>
  <c r="V52" i="59"/>
  <c r="V48" i="59"/>
  <c r="V32" i="59"/>
  <c r="V28" i="59"/>
  <c r="V20" i="59"/>
  <c r="Z12" i="59"/>
  <c r="V41" i="59"/>
  <c r="V37" i="59"/>
  <c r="V29" i="59"/>
  <c r="V25" i="59"/>
  <c r="T16" i="59"/>
  <c r="V47" i="59"/>
  <c r="D64" i="59"/>
  <c r="X19" i="61"/>
  <c r="Z19" i="61"/>
  <c r="L71" i="68"/>
  <c r="N71" i="68" s="1"/>
  <c r="Z12" i="43"/>
  <c r="F16" i="43"/>
  <c r="V16" i="43"/>
  <c r="F20" i="43"/>
  <c r="V20" i="43"/>
  <c r="J24" i="43"/>
  <c r="X12" i="44"/>
  <c r="J21" i="44"/>
  <c r="F27" i="44"/>
  <c r="V27" i="44"/>
  <c r="F31" i="44"/>
  <c r="V31" i="44"/>
  <c r="V19" i="45"/>
  <c r="V27" i="45"/>
  <c r="J31" i="45"/>
  <c r="V35" i="45"/>
  <c r="J37" i="45"/>
  <c r="V39" i="45"/>
  <c r="J43" i="45"/>
  <c r="V47" i="45"/>
  <c r="J51" i="45"/>
  <c r="V55" i="45"/>
  <c r="J59" i="45"/>
  <c r="V63" i="45"/>
  <c r="J67" i="45"/>
  <c r="J71" i="45"/>
  <c r="J75" i="45"/>
  <c r="J79" i="45"/>
  <c r="V83" i="45"/>
  <c r="J85" i="45"/>
  <c r="V87" i="45"/>
  <c r="J91" i="45"/>
  <c r="V93" i="45"/>
  <c r="J97" i="45"/>
  <c r="Z12" i="46"/>
  <c r="F16" i="46"/>
  <c r="V16" i="46"/>
  <c r="F20" i="46"/>
  <c r="V20" i="46"/>
  <c r="R22" i="46"/>
  <c r="J24" i="46"/>
  <c r="X12" i="47"/>
  <c r="J21" i="47"/>
  <c r="F27" i="47"/>
  <c r="V27" i="47"/>
  <c r="F31" i="47"/>
  <c r="V31" i="47"/>
  <c r="X12" i="48"/>
  <c r="Z12" i="48" s="1"/>
  <c r="R15" i="48"/>
  <c r="J17" i="48"/>
  <c r="R19" i="48"/>
  <c r="V21" i="48"/>
  <c r="R22" i="48"/>
  <c r="J25" i="48"/>
  <c r="V29" i="48"/>
  <c r="V33" i="48"/>
  <c r="R34" i="48"/>
  <c r="J37" i="48"/>
  <c r="R43" i="48"/>
  <c r="V45" i="48"/>
  <c r="R46" i="48"/>
  <c r="J47" i="48"/>
  <c r="R51" i="48"/>
  <c r="V53" i="48"/>
  <c r="R54" i="48"/>
  <c r="J55" i="48"/>
  <c r="V57" i="48"/>
  <c r="R58" i="48"/>
  <c r="J59" i="48"/>
  <c r="J65" i="48"/>
  <c r="V67" i="48"/>
  <c r="J15" i="49"/>
  <c r="H18" i="49"/>
  <c r="V21" i="49"/>
  <c r="J25" i="49"/>
  <c r="R27" i="49"/>
  <c r="J29" i="49"/>
  <c r="R31" i="49"/>
  <c r="J33" i="49"/>
  <c r="R34" i="49"/>
  <c r="J36" i="49"/>
  <c r="N12" i="50"/>
  <c r="F18" i="50"/>
  <c r="V18" i="50"/>
  <c r="J22" i="50"/>
  <c r="R24" i="50"/>
  <c r="R18" i="51"/>
  <c r="J20" i="51"/>
  <c r="V24" i="51"/>
  <c r="R25" i="51"/>
  <c r="J28" i="51"/>
  <c r="V30" i="51"/>
  <c r="J36" i="51"/>
  <c r="V40" i="51"/>
  <c r="R41" i="51"/>
  <c r="V44" i="51"/>
  <c r="R45" i="51"/>
  <c r="J48" i="51"/>
  <c r="V52" i="51"/>
  <c r="R53" i="51"/>
  <c r="V56" i="51"/>
  <c r="J60" i="51"/>
  <c r="V64" i="51"/>
  <c r="J68" i="51"/>
  <c r="R70" i="51"/>
  <c r="J75" i="51"/>
  <c r="V76" i="51"/>
  <c r="J80" i="51"/>
  <c r="Z12" i="52"/>
  <c r="F16" i="52"/>
  <c r="V16" i="52"/>
  <c r="F20" i="52"/>
  <c r="V20" i="52"/>
  <c r="R22" i="52"/>
  <c r="J24" i="52"/>
  <c r="X12" i="53"/>
  <c r="J21" i="53"/>
  <c r="J29" i="53"/>
  <c r="V34" i="53"/>
  <c r="P16" i="54"/>
  <c r="X14" i="54"/>
  <c r="F35" i="55"/>
  <c r="F29" i="55"/>
  <c r="F24" i="55"/>
  <c r="F19" i="55"/>
  <c r="F33" i="55"/>
  <c r="F26" i="55"/>
  <c r="F21" i="55"/>
  <c r="D16" i="55"/>
  <c r="F38" i="55"/>
  <c r="F31" i="55"/>
  <c r="F23" i="55"/>
  <c r="F20" i="55"/>
  <c r="L12" i="55"/>
  <c r="Z19" i="55"/>
  <c r="X23" i="55"/>
  <c r="F27" i="55"/>
  <c r="L12" i="56"/>
  <c r="N18" i="56"/>
  <c r="J27" i="56"/>
  <c r="J31" i="56"/>
  <c r="Z60" i="56"/>
  <c r="J63" i="56"/>
  <c r="F14" i="57"/>
  <c r="F26" i="57"/>
  <c r="F30" i="57"/>
  <c r="F38" i="57"/>
  <c r="F42" i="57"/>
  <c r="F54" i="57"/>
  <c r="X14" i="58"/>
  <c r="N51" i="58"/>
  <c r="F57" i="58"/>
  <c r="X72" i="58"/>
  <c r="X12" i="59"/>
  <c r="L16" i="59"/>
  <c r="X19" i="59"/>
  <c r="Z19" i="59" s="1"/>
  <c r="V27" i="59"/>
  <c r="V54" i="59"/>
  <c r="H57" i="61"/>
  <c r="N16" i="61"/>
  <c r="J27" i="43"/>
  <c r="J31" i="43"/>
  <c r="J34" i="43"/>
  <c r="J26" i="45"/>
  <c r="V28" i="45"/>
  <c r="J32" i="45"/>
  <c r="V36" i="45"/>
  <c r="V40" i="45"/>
  <c r="J44" i="45"/>
  <c r="V52" i="45"/>
  <c r="J54" i="45"/>
  <c r="V60" i="45"/>
  <c r="J62" i="45"/>
  <c r="V68" i="45"/>
  <c r="V72" i="45"/>
  <c r="J76" i="45"/>
  <c r="J80" i="45"/>
  <c r="V84" i="45"/>
  <c r="R15" i="46"/>
  <c r="P18" i="46"/>
  <c r="R25" i="46"/>
  <c r="J27" i="46"/>
  <c r="R29" i="46"/>
  <c r="J31" i="46"/>
  <c r="R33" i="46"/>
  <c r="J34" i="46"/>
  <c r="R36" i="46"/>
  <c r="J24" i="47"/>
  <c r="J20" i="48"/>
  <c r="V22" i="48"/>
  <c r="R23" i="48"/>
  <c r="J26" i="48"/>
  <c r="V34" i="48"/>
  <c r="R35" i="48"/>
  <c r="J38" i="48"/>
  <c r="J42" i="48"/>
  <c r="V46" i="48"/>
  <c r="J50" i="48"/>
  <c r="V54" i="48"/>
  <c r="V58" i="48"/>
  <c r="J62" i="48"/>
  <c r="R64" i="48"/>
  <c r="R74" i="48"/>
  <c r="R16" i="49"/>
  <c r="J18" i="49"/>
  <c r="R20" i="49"/>
  <c r="V24" i="49"/>
  <c r="J15" i="50"/>
  <c r="H18" i="50"/>
  <c r="F21" i="50"/>
  <c r="V21" i="50"/>
  <c r="J25" i="50"/>
  <c r="R27" i="50"/>
  <c r="J29" i="50"/>
  <c r="R31" i="50"/>
  <c r="J33" i="50"/>
  <c r="R34" i="50"/>
  <c r="J36" i="50"/>
  <c r="J21" i="51"/>
  <c r="V25" i="51"/>
  <c r="R26" i="51"/>
  <c r="H30" i="51"/>
  <c r="X30" i="51"/>
  <c r="V33" i="51"/>
  <c r="R34" i="51"/>
  <c r="J37" i="51"/>
  <c r="V41" i="51"/>
  <c r="R42" i="51"/>
  <c r="V45" i="51"/>
  <c r="R46" i="51"/>
  <c r="J49" i="51"/>
  <c r="V53" i="51"/>
  <c r="R54" i="51"/>
  <c r="J55" i="51"/>
  <c r="R59" i="51"/>
  <c r="V61" i="51"/>
  <c r="R62" i="51"/>
  <c r="J63" i="51"/>
  <c r="R67" i="51"/>
  <c r="J69" i="51"/>
  <c r="J73" i="51"/>
  <c r="R74" i="51"/>
  <c r="R15" i="52"/>
  <c r="P18" i="52"/>
  <c r="R25" i="52"/>
  <c r="J27" i="52"/>
  <c r="R29" i="52"/>
  <c r="J31" i="52"/>
  <c r="R33" i="52"/>
  <c r="J34" i="52"/>
  <c r="R36" i="52"/>
  <c r="R22" i="53"/>
  <c r="R25" i="53"/>
  <c r="T16" i="54"/>
  <c r="V31" i="54"/>
  <c r="V28" i="54"/>
  <c r="V24" i="54"/>
  <c r="V22" i="54"/>
  <c r="V18" i="54"/>
  <c r="V14" i="54"/>
  <c r="V29" i="54"/>
  <c r="V26" i="54"/>
  <c r="V20" i="54"/>
  <c r="J33" i="55"/>
  <c r="J27" i="55"/>
  <c r="J21" i="55"/>
  <c r="H16" i="55"/>
  <c r="J38" i="55"/>
  <c r="J31" i="55"/>
  <c r="J23" i="55"/>
  <c r="J20" i="55"/>
  <c r="J18" i="55"/>
  <c r="J14" i="55"/>
  <c r="N12" i="55"/>
  <c r="J25" i="55"/>
  <c r="J24" i="55"/>
  <c r="J16" i="55"/>
  <c r="J26" i="55"/>
  <c r="P69" i="57"/>
  <c r="L19" i="58"/>
  <c r="N19" i="58" s="1"/>
  <c r="F70" i="58"/>
  <c r="V26" i="59"/>
  <c r="J60" i="60"/>
  <c r="J54" i="60"/>
  <c r="J50" i="60"/>
  <c r="J44" i="60"/>
  <c r="J38" i="60"/>
  <c r="J30" i="60"/>
  <c r="J26" i="60"/>
  <c r="J53" i="60"/>
  <c r="J49" i="60"/>
  <c r="J43" i="60"/>
  <c r="J35" i="60"/>
  <c r="J29" i="60"/>
  <c r="J23" i="60"/>
  <c r="J46" i="60"/>
  <c r="J40" i="60"/>
  <c r="J34" i="60"/>
  <c r="J22" i="60"/>
  <c r="J51" i="60"/>
  <c r="J39" i="60"/>
  <c r="J31" i="60"/>
  <c r="J27" i="60"/>
  <c r="J62" i="60"/>
  <c r="J42" i="60"/>
  <c r="J37" i="60"/>
  <c r="J36" i="60"/>
  <c r="J25" i="60"/>
  <c r="J24" i="60"/>
  <c r="J16" i="60"/>
  <c r="J20" i="60"/>
  <c r="J19" i="60"/>
  <c r="H16" i="60"/>
  <c r="J65" i="60"/>
  <c r="J52" i="60"/>
  <c r="J45" i="60"/>
  <c r="J41" i="60"/>
  <c r="J33" i="60"/>
  <c r="J32" i="60"/>
  <c r="J21" i="60"/>
  <c r="J56" i="60"/>
  <c r="J47" i="60"/>
  <c r="J58" i="60"/>
  <c r="J48" i="60"/>
  <c r="J28" i="60"/>
  <c r="J18" i="60"/>
  <c r="J14" i="60"/>
  <c r="N12" i="60"/>
  <c r="P58" i="60"/>
  <c r="X16" i="60"/>
  <c r="L56" i="62"/>
  <c r="N56" i="62" s="1"/>
  <c r="J16" i="43"/>
  <c r="R15" i="44"/>
  <c r="P18" i="44"/>
  <c r="R25" i="44"/>
  <c r="J27" i="44"/>
  <c r="R29" i="44"/>
  <c r="J31" i="44"/>
  <c r="R33" i="44"/>
  <c r="D12" i="45"/>
  <c r="V21" i="45"/>
  <c r="V25" i="45"/>
  <c r="V29" i="45"/>
  <c r="J33" i="45"/>
  <c r="V41" i="45"/>
  <c r="J45" i="45"/>
  <c r="J49" i="45"/>
  <c r="V53" i="45"/>
  <c r="J57" i="45"/>
  <c r="V61" i="45"/>
  <c r="J65" i="45"/>
  <c r="V69" i="45"/>
  <c r="V73" i="45"/>
  <c r="J81" i="45"/>
  <c r="J89" i="45"/>
  <c r="J93" i="45"/>
  <c r="J16" i="46"/>
  <c r="P18" i="47"/>
  <c r="R25" i="47"/>
  <c r="J27" i="47"/>
  <c r="R29" i="47"/>
  <c r="J31" i="47"/>
  <c r="R33" i="47"/>
  <c r="V15" i="48"/>
  <c r="V19" i="48"/>
  <c r="V23" i="48"/>
  <c r="R24" i="48"/>
  <c r="J27" i="48"/>
  <c r="J31" i="48"/>
  <c r="V35" i="48"/>
  <c r="R36" i="48"/>
  <c r="J39" i="48"/>
  <c r="R41" i="48"/>
  <c r="V43" i="48"/>
  <c r="R44" i="48"/>
  <c r="J45" i="48"/>
  <c r="R49" i="48"/>
  <c r="R52" i="48"/>
  <c r="J53" i="48"/>
  <c r="R61" i="48"/>
  <c r="J63" i="48"/>
  <c r="V27" i="49"/>
  <c r="V31" i="49"/>
  <c r="R16" i="50"/>
  <c r="V18" i="51"/>
  <c r="R19" i="51"/>
  <c r="J22" i="51"/>
  <c r="V26" i="51"/>
  <c r="R27" i="51"/>
  <c r="R32" i="51"/>
  <c r="V34" i="51"/>
  <c r="R35" i="51"/>
  <c r="J38" i="51"/>
  <c r="V42" i="51"/>
  <c r="R43" i="51"/>
  <c r="J44" i="51"/>
  <c r="V46" i="51"/>
  <c r="R47" i="51"/>
  <c r="J50" i="51"/>
  <c r="V54" i="51"/>
  <c r="J58" i="51"/>
  <c r="V62" i="51"/>
  <c r="J66" i="51"/>
  <c r="V70" i="51"/>
  <c r="R71" i="51"/>
  <c r="R78" i="51"/>
  <c r="J16" i="52"/>
  <c r="F36" i="53"/>
  <c r="F33" i="53"/>
  <c r="F29" i="53"/>
  <c r="F25" i="53"/>
  <c r="R15" i="53"/>
  <c r="P18" i="53"/>
  <c r="X12" i="54"/>
  <c r="Z14" i="55"/>
  <c r="X14" i="55"/>
  <c r="F18" i="55"/>
  <c r="Z23" i="55"/>
  <c r="F25" i="55"/>
  <c r="J38" i="56"/>
  <c r="X40" i="56"/>
  <c r="Z40" i="56" s="1"/>
  <c r="F63" i="57"/>
  <c r="T16" i="58"/>
  <c r="Z14" i="58"/>
  <c r="X45" i="58"/>
  <c r="Z45" i="58" s="1"/>
  <c r="F53" i="58"/>
  <c r="F60" i="58"/>
  <c r="N16" i="59"/>
  <c r="H60" i="59"/>
  <c r="Z18" i="59"/>
  <c r="V38" i="59"/>
  <c r="V39" i="59"/>
  <c r="X52" i="59"/>
  <c r="Z52" i="59" s="1"/>
  <c r="L64" i="62"/>
  <c r="N64" i="62" s="1"/>
  <c r="P80" i="65"/>
  <c r="X80" i="65" s="1"/>
  <c r="Z80" i="65" s="1"/>
  <c r="X81" i="65"/>
  <c r="Z81" i="65" s="1"/>
  <c r="F26" i="54"/>
  <c r="F29" i="54"/>
  <c r="P31" i="55"/>
  <c r="V21" i="56"/>
  <c r="F26" i="56"/>
  <c r="F30" i="56"/>
  <c r="V33" i="56"/>
  <c r="R34" i="56"/>
  <c r="F38" i="56"/>
  <c r="V45" i="56"/>
  <c r="V53" i="56"/>
  <c r="R54" i="56"/>
  <c r="F58" i="56"/>
  <c r="F63" i="56"/>
  <c r="V63" i="56"/>
  <c r="F69" i="56"/>
  <c r="V69" i="56"/>
  <c r="Z12" i="57"/>
  <c r="R14" i="57"/>
  <c r="R18" i="57"/>
  <c r="V20" i="57"/>
  <c r="R21" i="57"/>
  <c r="V28" i="57"/>
  <c r="V32" i="57"/>
  <c r="R33" i="57"/>
  <c r="R42" i="57"/>
  <c r="V44" i="57"/>
  <c r="R45" i="57"/>
  <c r="R54" i="57"/>
  <c r="V56" i="57"/>
  <c r="R57" i="57"/>
  <c r="X12" i="58"/>
  <c r="R20" i="58"/>
  <c r="J23" i="58"/>
  <c r="R28" i="58"/>
  <c r="R32" i="58"/>
  <c r="J35" i="58"/>
  <c r="V39" i="58"/>
  <c r="R40" i="58"/>
  <c r="J41" i="58"/>
  <c r="R45" i="58"/>
  <c r="V47" i="58"/>
  <c r="R48" i="58"/>
  <c r="J49" i="58"/>
  <c r="R53" i="58"/>
  <c r="J55" i="58"/>
  <c r="R57" i="58"/>
  <c r="J59" i="58"/>
  <c r="V63" i="58"/>
  <c r="R64" i="58"/>
  <c r="V67" i="58"/>
  <c r="R68" i="58"/>
  <c r="J69" i="58"/>
  <c r="H74" i="58"/>
  <c r="R19" i="59"/>
  <c r="J21" i="59"/>
  <c r="R26" i="59"/>
  <c r="R30" i="59"/>
  <c r="J33" i="59"/>
  <c r="R38" i="59"/>
  <c r="F46" i="59"/>
  <c r="R47" i="59"/>
  <c r="J49" i="59"/>
  <c r="F50" i="59"/>
  <c r="J53" i="59"/>
  <c r="F62" i="60"/>
  <c r="F56" i="60"/>
  <c r="F51" i="60"/>
  <c r="F42" i="60"/>
  <c r="F39" i="60"/>
  <c r="F31" i="60"/>
  <c r="F27" i="60"/>
  <c r="F47" i="60"/>
  <c r="F36" i="60"/>
  <c r="F24" i="60"/>
  <c r="F19" i="60"/>
  <c r="F65" i="60"/>
  <c r="F58" i="60"/>
  <c r="F43" i="60"/>
  <c r="F35" i="60"/>
  <c r="F23" i="60"/>
  <c r="F52" i="60"/>
  <c r="F48" i="60"/>
  <c r="F32" i="60"/>
  <c r="F28" i="60"/>
  <c r="F20" i="60"/>
  <c r="V18" i="60"/>
  <c r="V20" i="60"/>
  <c r="V21" i="60"/>
  <c r="V32" i="60"/>
  <c r="V33" i="60"/>
  <c r="V45" i="60"/>
  <c r="V52" i="60"/>
  <c r="X53" i="60"/>
  <c r="Z53" i="60" s="1"/>
  <c r="F60" i="60"/>
  <c r="V48" i="61"/>
  <c r="V44" i="61"/>
  <c r="V32" i="61"/>
  <c r="V28" i="61"/>
  <c r="V20" i="61"/>
  <c r="Z12" i="61"/>
  <c r="V50" i="61"/>
  <c r="V64" i="61"/>
  <c r="V59" i="61"/>
  <c r="V57" i="61"/>
  <c r="V53" i="61"/>
  <c r="V49" i="61"/>
  <c r="V41" i="61"/>
  <c r="V37" i="61"/>
  <c r="V29" i="61"/>
  <c r="V25" i="61"/>
  <c r="T16" i="61"/>
  <c r="V52" i="61"/>
  <c r="V40" i="61"/>
  <c r="V36" i="61"/>
  <c r="V24" i="61"/>
  <c r="V61" i="61"/>
  <c r="V55" i="61"/>
  <c r="V45" i="61"/>
  <c r="V33" i="61"/>
  <c r="V21" i="61"/>
  <c r="V16" i="61"/>
  <c r="J23" i="61"/>
  <c r="J29" i="61"/>
  <c r="V47" i="61"/>
  <c r="X52" i="61"/>
  <c r="Z52" i="61" s="1"/>
  <c r="L55" i="61"/>
  <c r="J57" i="61"/>
  <c r="F14" i="62"/>
  <c r="V18" i="62"/>
  <c r="V21" i="62"/>
  <c r="X47" i="62"/>
  <c r="Z47" i="62" s="1"/>
  <c r="F79" i="62"/>
  <c r="F82" i="62"/>
  <c r="J24" i="63"/>
  <c r="Z58" i="63"/>
  <c r="X58" i="63"/>
  <c r="L81" i="65"/>
  <c r="N81" i="65" s="1"/>
  <c r="D80" i="65"/>
  <c r="L80" i="65" s="1"/>
  <c r="R21" i="55"/>
  <c r="R24" i="55"/>
  <c r="F21" i="56"/>
  <c r="V24" i="56"/>
  <c r="F33" i="56"/>
  <c r="V36" i="56"/>
  <c r="R37" i="56"/>
  <c r="F40" i="56"/>
  <c r="V40" i="56"/>
  <c r="R41" i="56"/>
  <c r="F45" i="56"/>
  <c r="R46" i="56"/>
  <c r="F48" i="56"/>
  <c r="V48" i="56"/>
  <c r="R49" i="56"/>
  <c r="F53" i="56"/>
  <c r="F60" i="56"/>
  <c r="V60" i="56"/>
  <c r="R61" i="56"/>
  <c r="R67" i="56"/>
  <c r="V23" i="57"/>
  <c r="R24" i="57"/>
  <c r="R29" i="57"/>
  <c r="V35" i="57"/>
  <c r="R36" i="57"/>
  <c r="V43" i="57"/>
  <c r="V55" i="57"/>
  <c r="R65" i="57"/>
  <c r="R72" i="57"/>
  <c r="R23" i="58"/>
  <c r="J26" i="58"/>
  <c r="R35" i="58"/>
  <c r="J38" i="58"/>
  <c r="J42" i="58"/>
  <c r="V46" i="58"/>
  <c r="J50" i="58"/>
  <c r="V54" i="58"/>
  <c r="R55" i="58"/>
  <c r="V58" i="58"/>
  <c r="R59" i="58"/>
  <c r="J60" i="58"/>
  <c r="V66" i="58"/>
  <c r="J70" i="58"/>
  <c r="V72" i="58"/>
  <c r="J76" i="58"/>
  <c r="V78" i="58"/>
  <c r="J16" i="59"/>
  <c r="R18" i="59"/>
  <c r="R21" i="59"/>
  <c r="J24" i="59"/>
  <c r="R33" i="59"/>
  <c r="J36" i="59"/>
  <c r="R42" i="59"/>
  <c r="J44" i="59"/>
  <c r="R49" i="59"/>
  <c r="F52" i="59"/>
  <c r="R53" i="59"/>
  <c r="J54" i="59"/>
  <c r="F60" i="59"/>
  <c r="F67" i="59"/>
  <c r="V25" i="60"/>
  <c r="F34" i="60"/>
  <c r="V37" i="60"/>
  <c r="L40" i="60"/>
  <c r="F46" i="60"/>
  <c r="L47" i="60"/>
  <c r="N47" i="60"/>
  <c r="J26" i="61"/>
  <c r="J34" i="61"/>
  <c r="J35" i="61"/>
  <c r="J49" i="61"/>
  <c r="F97" i="62"/>
  <c r="F80" i="62"/>
  <c r="F100" i="62"/>
  <c r="F93" i="62"/>
  <c r="F78" i="62"/>
  <c r="F81" i="62"/>
  <c r="F71" i="62"/>
  <c r="F47" i="62"/>
  <c r="F44" i="62"/>
  <c r="F36" i="62"/>
  <c r="F24" i="62"/>
  <c r="F19" i="62"/>
  <c r="F74" i="62"/>
  <c r="F70" i="62"/>
  <c r="F46" i="62"/>
  <c r="F41" i="62"/>
  <c r="F34" i="62"/>
  <c r="F22" i="62"/>
  <c r="D16" i="62"/>
  <c r="F87" i="62"/>
  <c r="F73" i="62"/>
  <c r="F69" i="62"/>
  <c r="F65" i="62"/>
  <c r="F60" i="62"/>
  <c r="F57" i="62"/>
  <c r="F52" i="62"/>
  <c r="F49" i="62"/>
  <c r="F33" i="62"/>
  <c r="F29" i="62"/>
  <c r="F21" i="62"/>
  <c r="F90" i="62"/>
  <c r="F85" i="62"/>
  <c r="F77" i="62"/>
  <c r="F72" i="62"/>
  <c r="F68" i="62"/>
  <c r="F48" i="62"/>
  <c r="F43" i="62"/>
  <c r="F40" i="62"/>
  <c r="F32" i="62"/>
  <c r="F28" i="62"/>
  <c r="F20" i="62"/>
  <c r="L12" i="62"/>
  <c r="F84" i="62"/>
  <c r="F76" i="62"/>
  <c r="F75" i="62"/>
  <c r="F64" i="62"/>
  <c r="F61" i="62"/>
  <c r="F56" i="62"/>
  <c r="F53" i="62"/>
  <c r="F37" i="62"/>
  <c r="F25" i="62"/>
  <c r="F18" i="62"/>
  <c r="F26" i="62"/>
  <c r="F27" i="62"/>
  <c r="Z30" i="62"/>
  <c r="Z58" i="62"/>
  <c r="Z66" i="62"/>
  <c r="V69" i="62"/>
  <c r="F89" i="62"/>
  <c r="F14" i="54"/>
  <c r="F18" i="54"/>
  <c r="F22" i="54"/>
  <c r="F28" i="54"/>
  <c r="F31" i="54"/>
  <c r="R16" i="55"/>
  <c r="D16" i="56"/>
  <c r="T16" i="56"/>
  <c r="R19" i="56"/>
  <c r="F22" i="56"/>
  <c r="V25" i="56"/>
  <c r="R26" i="56"/>
  <c r="F29" i="56"/>
  <c r="V29" i="56"/>
  <c r="R30" i="56"/>
  <c r="F34" i="56"/>
  <c r="V37" i="56"/>
  <c r="R38" i="56"/>
  <c r="V41" i="56"/>
  <c r="V49" i="56"/>
  <c r="F54" i="56"/>
  <c r="R55" i="56"/>
  <c r="F57" i="56"/>
  <c r="V57" i="56"/>
  <c r="R58" i="56"/>
  <c r="V61" i="56"/>
  <c r="F65" i="56"/>
  <c r="V65" i="56"/>
  <c r="V67" i="56"/>
  <c r="F72" i="56"/>
  <c r="V72" i="56"/>
  <c r="R16" i="57"/>
  <c r="V24" i="57"/>
  <c r="R25" i="57"/>
  <c r="V36" i="57"/>
  <c r="R37" i="57"/>
  <c r="V40" i="57"/>
  <c r="R41" i="57"/>
  <c r="R46" i="57"/>
  <c r="V48" i="57"/>
  <c r="R49" i="57"/>
  <c r="V52" i="57"/>
  <c r="R53" i="57"/>
  <c r="R58" i="57"/>
  <c r="V60" i="57"/>
  <c r="R61" i="57"/>
  <c r="R67" i="57"/>
  <c r="P16" i="58"/>
  <c r="V23" i="58"/>
  <c r="R24" i="58"/>
  <c r="J27" i="58"/>
  <c r="J31" i="58"/>
  <c r="V35" i="58"/>
  <c r="R36" i="58"/>
  <c r="J39" i="58"/>
  <c r="R41" i="58"/>
  <c r="V43" i="58"/>
  <c r="R44" i="58"/>
  <c r="J45" i="58"/>
  <c r="R49" i="58"/>
  <c r="V51" i="58"/>
  <c r="R52" i="58"/>
  <c r="J53" i="58"/>
  <c r="V55" i="58"/>
  <c r="R56" i="58"/>
  <c r="J57" i="58"/>
  <c r="V59" i="58"/>
  <c r="J63" i="58"/>
  <c r="R69" i="58"/>
  <c r="J19" i="59"/>
  <c r="R22" i="59"/>
  <c r="J25" i="59"/>
  <c r="F26" i="59"/>
  <c r="F30" i="59"/>
  <c r="R34" i="59"/>
  <c r="J37" i="59"/>
  <c r="F38" i="59"/>
  <c r="J41" i="59"/>
  <c r="F45" i="59"/>
  <c r="R46" i="59"/>
  <c r="J47" i="59"/>
  <c r="R50" i="59"/>
  <c r="R43" i="60"/>
  <c r="R40" i="60"/>
  <c r="R35" i="60"/>
  <c r="R23" i="60"/>
  <c r="R52" i="60"/>
  <c r="R48" i="60"/>
  <c r="R32" i="60"/>
  <c r="R28" i="60"/>
  <c r="R20" i="60"/>
  <c r="R51" i="60"/>
  <c r="R44" i="60"/>
  <c r="R39" i="60"/>
  <c r="R31" i="60"/>
  <c r="R27" i="60"/>
  <c r="R53" i="60"/>
  <c r="R49" i="60"/>
  <c r="R36" i="60"/>
  <c r="R29" i="60"/>
  <c r="R24" i="60"/>
  <c r="D16" i="60"/>
  <c r="F21" i="60"/>
  <c r="R30" i="60"/>
  <c r="F33" i="60"/>
  <c r="F40" i="60"/>
  <c r="F41" i="60"/>
  <c r="Z42" i="60"/>
  <c r="F44" i="60"/>
  <c r="F45" i="60"/>
  <c r="R50" i="60"/>
  <c r="F53" i="60"/>
  <c r="F54" i="60"/>
  <c r="V22" i="61"/>
  <c r="V27" i="61"/>
  <c r="J95" i="62"/>
  <c r="J90" i="62"/>
  <c r="J81" i="62"/>
  <c r="J100" i="62"/>
  <c r="J93" i="62"/>
  <c r="J83" i="62"/>
  <c r="J79" i="62"/>
  <c r="J89" i="62"/>
  <c r="J85" i="62"/>
  <c r="J77" i="62"/>
  <c r="J80" i="62"/>
  <c r="J74" i="62"/>
  <c r="J63" i="62"/>
  <c r="J55" i="62"/>
  <c r="J41" i="62"/>
  <c r="J35" i="62"/>
  <c r="J23" i="62"/>
  <c r="H16" i="62"/>
  <c r="J97" i="62"/>
  <c r="J87" i="62"/>
  <c r="J73" i="62"/>
  <c r="J69" i="62"/>
  <c r="J65" i="62"/>
  <c r="J57" i="62"/>
  <c r="J49" i="62"/>
  <c r="J43" i="62"/>
  <c r="J33" i="62"/>
  <c r="J29" i="62"/>
  <c r="J21" i="62"/>
  <c r="J86" i="62"/>
  <c r="J72" i="62"/>
  <c r="J68" i="62"/>
  <c r="J62" i="62"/>
  <c r="J54" i="62"/>
  <c r="J48" i="62"/>
  <c r="J40" i="62"/>
  <c r="J32" i="62"/>
  <c r="J28" i="62"/>
  <c r="J20" i="62"/>
  <c r="J18" i="62"/>
  <c r="J14" i="62"/>
  <c r="N12" i="62"/>
  <c r="J91" i="62"/>
  <c r="J67" i="62"/>
  <c r="J59" i="62"/>
  <c r="J51" i="62"/>
  <c r="J45" i="62"/>
  <c r="J39" i="62"/>
  <c r="J31" i="62"/>
  <c r="J27" i="62"/>
  <c r="J82" i="62"/>
  <c r="J66" i="62"/>
  <c r="J58" i="62"/>
  <c r="J50" i="62"/>
  <c r="J44" i="62"/>
  <c r="J36" i="62"/>
  <c r="J30" i="62"/>
  <c r="J24" i="62"/>
  <c r="J16" i="62"/>
  <c r="Z14" i="62"/>
  <c r="X14" i="62"/>
  <c r="J19" i="62"/>
  <c r="J26" i="62"/>
  <c r="V30" i="62"/>
  <c r="V33" i="62"/>
  <c r="V34" i="62"/>
  <c r="V50" i="62"/>
  <c r="V58" i="62"/>
  <c r="V66" i="62"/>
  <c r="Z71" i="62"/>
  <c r="X13" i="63"/>
  <c r="Z13" i="63" s="1"/>
  <c r="P12" i="63"/>
  <c r="J47" i="63"/>
  <c r="L58" i="63"/>
  <c r="N16" i="64"/>
  <c r="H29" i="64"/>
  <c r="F36" i="65"/>
  <c r="N55" i="65"/>
  <c r="N61" i="65"/>
  <c r="N80" i="65"/>
  <c r="J80" i="65"/>
  <c r="L12" i="54"/>
  <c r="R19" i="55"/>
  <c r="R22" i="55"/>
  <c r="R29" i="55"/>
  <c r="R35" i="55"/>
  <c r="F16" i="56"/>
  <c r="V16" i="56"/>
  <c r="F23" i="56"/>
  <c r="V26" i="56"/>
  <c r="R27" i="56"/>
  <c r="V30" i="56"/>
  <c r="R31" i="56"/>
  <c r="F35" i="56"/>
  <c r="V38" i="56"/>
  <c r="R39" i="56"/>
  <c r="F43" i="56"/>
  <c r="R44" i="56"/>
  <c r="F46" i="56"/>
  <c r="V46" i="56"/>
  <c r="R47" i="56"/>
  <c r="F51" i="56"/>
  <c r="R52" i="56"/>
  <c r="V58" i="56"/>
  <c r="R59" i="56"/>
  <c r="T16" i="57"/>
  <c r="X16" i="57" s="1"/>
  <c r="R19" i="57"/>
  <c r="V25" i="57"/>
  <c r="R26" i="57"/>
  <c r="V29" i="57"/>
  <c r="R30" i="57"/>
  <c r="V37" i="57"/>
  <c r="R38" i="57"/>
  <c r="V41" i="57"/>
  <c r="V49" i="57"/>
  <c r="R50" i="57"/>
  <c r="V53" i="57"/>
  <c r="V61" i="57"/>
  <c r="V65" i="57"/>
  <c r="V67" i="57"/>
  <c r="V72" i="57"/>
  <c r="R16" i="58"/>
  <c r="R25" i="58"/>
  <c r="J28" i="58"/>
  <c r="R30" i="58"/>
  <c r="J32" i="58"/>
  <c r="R37" i="58"/>
  <c r="J40" i="58"/>
  <c r="J48" i="58"/>
  <c r="V52" i="58"/>
  <c r="V56" i="58"/>
  <c r="R62" i="58"/>
  <c r="J64" i="58"/>
  <c r="J68" i="58"/>
  <c r="J72" i="58"/>
  <c r="R74" i="58"/>
  <c r="J78" i="58"/>
  <c r="R81" i="58"/>
  <c r="J26" i="59"/>
  <c r="J30" i="59"/>
  <c r="R35" i="59"/>
  <c r="J38" i="59"/>
  <c r="R40" i="59"/>
  <c r="R43" i="59"/>
  <c r="R51" i="59"/>
  <c r="J52" i="59"/>
  <c r="F55" i="59"/>
  <c r="R58" i="59"/>
  <c r="J60" i="59"/>
  <c r="R64" i="59"/>
  <c r="J67" i="59"/>
  <c r="V62" i="60"/>
  <c r="V56" i="60"/>
  <c r="V46" i="60"/>
  <c r="V42" i="60"/>
  <c r="V34" i="60"/>
  <c r="V22" i="60"/>
  <c r="V51" i="60"/>
  <c r="V47" i="60"/>
  <c r="V39" i="60"/>
  <c r="V31" i="60"/>
  <c r="V27" i="60"/>
  <c r="V19" i="60"/>
  <c r="V65" i="60"/>
  <c r="V60" i="60"/>
  <c r="V58" i="60"/>
  <c r="V54" i="60"/>
  <c r="V50" i="60"/>
  <c r="V38" i="60"/>
  <c r="V30" i="60"/>
  <c r="V26" i="60"/>
  <c r="V43" i="60"/>
  <c r="V35" i="60"/>
  <c r="V23" i="60"/>
  <c r="V16" i="60"/>
  <c r="N19" i="60"/>
  <c r="V28" i="60"/>
  <c r="X29" i="60"/>
  <c r="V48" i="60"/>
  <c r="J36" i="61"/>
  <c r="J24" i="61"/>
  <c r="J16" i="61"/>
  <c r="J52" i="61"/>
  <c r="J46" i="61"/>
  <c r="J45" i="61"/>
  <c r="J33" i="61"/>
  <c r="J21" i="61"/>
  <c r="J48" i="61"/>
  <c r="J42" i="61"/>
  <c r="J32" i="61"/>
  <c r="J28" i="61"/>
  <c r="J20" i="61"/>
  <c r="J18" i="61"/>
  <c r="J14" i="61"/>
  <c r="N12" i="61"/>
  <c r="J59" i="61"/>
  <c r="J53" i="61"/>
  <c r="J47" i="61"/>
  <c r="J41" i="61"/>
  <c r="J37" i="61"/>
  <c r="J25" i="61"/>
  <c r="J19" i="61"/>
  <c r="V46" i="61"/>
  <c r="J64" i="61"/>
  <c r="V42" i="62"/>
  <c r="F91" i="62"/>
  <c r="F36" i="56"/>
  <c r="V47" i="56"/>
  <c r="F55" i="56"/>
  <c r="V55" i="56"/>
  <c r="R56" i="56"/>
  <c r="V59" i="56"/>
  <c r="R63" i="56"/>
  <c r="R69" i="56"/>
  <c r="V16" i="57"/>
  <c r="V26" i="57"/>
  <c r="V30" i="57"/>
  <c r="V38" i="57"/>
  <c r="R39" i="57"/>
  <c r="R44" i="57"/>
  <c r="V46" i="57"/>
  <c r="R47" i="57"/>
  <c r="V50" i="57"/>
  <c r="R51" i="57"/>
  <c r="R56" i="57"/>
  <c r="V58" i="57"/>
  <c r="R59" i="57"/>
  <c r="R19" i="58"/>
  <c r="R26" i="58"/>
  <c r="R38" i="58"/>
  <c r="R42" i="58"/>
  <c r="R47" i="58"/>
  <c r="R50" i="58"/>
  <c r="J51" i="58"/>
  <c r="J61" i="58"/>
  <c r="J65" i="58"/>
  <c r="R67" i="58"/>
  <c r="V69" i="58"/>
  <c r="R70" i="58"/>
  <c r="R76" i="58"/>
  <c r="J27" i="59"/>
  <c r="J31" i="59"/>
  <c r="J39" i="59"/>
  <c r="R44" i="59"/>
  <c r="J45" i="59"/>
  <c r="J55" i="59"/>
  <c r="Z29" i="60"/>
  <c r="N42" i="60"/>
  <c r="Z49" i="60"/>
  <c r="L12" i="61"/>
  <c r="V34" i="61"/>
  <c r="J43" i="61"/>
  <c r="J51" i="61"/>
  <c r="V97" i="62"/>
  <c r="V91" i="62"/>
  <c r="V85" i="62"/>
  <c r="V77" i="62"/>
  <c r="V87" i="62"/>
  <c r="V100" i="62"/>
  <c r="V95" i="62"/>
  <c r="V93" i="62"/>
  <c r="V81" i="62"/>
  <c r="V73" i="62"/>
  <c r="V89" i="62"/>
  <c r="V71" i="62"/>
  <c r="V67" i="62"/>
  <c r="V59" i="62"/>
  <c r="V51" i="62"/>
  <c r="V47" i="62"/>
  <c r="V39" i="62"/>
  <c r="V31" i="62"/>
  <c r="V27" i="62"/>
  <c r="V19" i="62"/>
  <c r="V82" i="62"/>
  <c r="V78" i="62"/>
  <c r="V61" i="62"/>
  <c r="V53" i="62"/>
  <c r="V41" i="62"/>
  <c r="V37" i="62"/>
  <c r="V25" i="62"/>
  <c r="T16" i="62"/>
  <c r="V83" i="62"/>
  <c r="V79" i="62"/>
  <c r="V75" i="62"/>
  <c r="V74" i="62"/>
  <c r="V60" i="62"/>
  <c r="V52" i="62"/>
  <c r="V44" i="62"/>
  <c r="V36" i="62"/>
  <c r="V24" i="62"/>
  <c r="V80" i="62"/>
  <c r="V63" i="62"/>
  <c r="V55" i="62"/>
  <c r="V43" i="62"/>
  <c r="V35" i="62"/>
  <c r="V23" i="62"/>
  <c r="V84" i="62"/>
  <c r="V76" i="62"/>
  <c r="V72" i="62"/>
  <c r="V68" i="62"/>
  <c r="V64" i="62"/>
  <c r="V56" i="62"/>
  <c r="V48" i="62"/>
  <c r="V40" i="62"/>
  <c r="V32" i="62"/>
  <c r="V28" i="62"/>
  <c r="V20" i="62"/>
  <c r="Z12" i="62"/>
  <c r="F16" i="62"/>
  <c r="V22" i="62"/>
  <c r="F30" i="62"/>
  <c r="F31" i="62"/>
  <c r="F39" i="62"/>
  <c r="X43" i="62"/>
  <c r="Z43" i="62" s="1"/>
  <c r="F45" i="62"/>
  <c r="F50" i="62"/>
  <c r="F51" i="62"/>
  <c r="X54" i="62"/>
  <c r="Z54" i="62" s="1"/>
  <c r="F58" i="62"/>
  <c r="F59" i="62"/>
  <c r="Z62" i="62"/>
  <c r="X62" i="62"/>
  <c r="F66" i="62"/>
  <c r="F67" i="62"/>
  <c r="J65" i="63"/>
  <c r="J59" i="63"/>
  <c r="J51" i="63"/>
  <c r="J43" i="63"/>
  <c r="J39" i="63"/>
  <c r="J23" i="63"/>
  <c r="J17" i="63"/>
  <c r="J78" i="63"/>
  <c r="J74" i="63"/>
  <c r="J70" i="63"/>
  <c r="J62" i="63"/>
  <c r="J56" i="63"/>
  <c r="J50" i="63"/>
  <c r="J42" i="63"/>
  <c r="J38" i="63"/>
  <c r="J32" i="63"/>
  <c r="J22" i="63"/>
  <c r="J73" i="63"/>
  <c r="J67" i="63"/>
  <c r="J82" i="63"/>
  <c r="J76" i="63"/>
  <c r="J72" i="63"/>
  <c r="J64" i="63"/>
  <c r="J58" i="63"/>
  <c r="J48" i="63"/>
  <c r="J36" i="63"/>
  <c r="H29" i="63"/>
  <c r="J20" i="63"/>
  <c r="J66" i="63"/>
  <c r="J52" i="63"/>
  <c r="J46" i="63"/>
  <c r="J34" i="63"/>
  <c r="J26" i="63"/>
  <c r="J18" i="63"/>
  <c r="J57" i="63"/>
  <c r="J27" i="63"/>
  <c r="J19" i="63"/>
  <c r="J69" i="63"/>
  <c r="J63" i="63"/>
  <c r="J61" i="63"/>
  <c r="J29" i="63"/>
  <c r="J71" i="63"/>
  <c r="J49" i="63"/>
  <c r="J45" i="63"/>
  <c r="J44" i="63"/>
  <c r="J33" i="63"/>
  <c r="J31" i="63"/>
  <c r="J21" i="63"/>
  <c r="J68" i="63"/>
  <c r="J60" i="63"/>
  <c r="J54" i="63"/>
  <c r="J37" i="63"/>
  <c r="L12" i="63"/>
  <c r="N12" i="63" s="1"/>
  <c r="J41" i="63"/>
  <c r="J40" i="63"/>
  <c r="J35" i="63"/>
  <c r="J25" i="63"/>
  <c r="D16" i="54"/>
  <c r="X12" i="55"/>
  <c r="R20" i="55"/>
  <c r="Z12" i="56"/>
  <c r="R14" i="56"/>
  <c r="R18" i="56"/>
  <c r="V20" i="56"/>
  <c r="R21" i="56"/>
  <c r="F25" i="56"/>
  <c r="V28" i="56"/>
  <c r="V32" i="56"/>
  <c r="R33" i="56"/>
  <c r="F37" i="56"/>
  <c r="F41" i="56"/>
  <c r="R42" i="56"/>
  <c r="F44" i="56"/>
  <c r="V44" i="56"/>
  <c r="R45" i="56"/>
  <c r="F49" i="56"/>
  <c r="R50" i="56"/>
  <c r="F52" i="56"/>
  <c r="V52" i="56"/>
  <c r="F61" i="56"/>
  <c r="X12" i="57"/>
  <c r="V19" i="57"/>
  <c r="R20" i="57"/>
  <c r="V27" i="57"/>
  <c r="R28" i="57"/>
  <c r="V31" i="57"/>
  <c r="R32" i="57"/>
  <c r="V39" i="57"/>
  <c r="V47" i="57"/>
  <c r="V51" i="57"/>
  <c r="R63" i="57"/>
  <c r="V16" i="58"/>
  <c r="J22" i="58"/>
  <c r="V26" i="58"/>
  <c r="R27" i="58"/>
  <c r="V30" i="58"/>
  <c r="R31" i="58"/>
  <c r="J34" i="58"/>
  <c r="V38" i="58"/>
  <c r="R39" i="58"/>
  <c r="V42" i="58"/>
  <c r="J46" i="58"/>
  <c r="V50" i="58"/>
  <c r="J54" i="58"/>
  <c r="J58" i="58"/>
  <c r="R60" i="58"/>
  <c r="V62" i="58"/>
  <c r="V70" i="58"/>
  <c r="V74" i="58"/>
  <c r="V76" i="58"/>
  <c r="N12" i="59"/>
  <c r="J14" i="59"/>
  <c r="R16" i="59"/>
  <c r="J18" i="59"/>
  <c r="J20" i="59"/>
  <c r="F21" i="59"/>
  <c r="R25" i="59"/>
  <c r="J28" i="59"/>
  <c r="J32" i="59"/>
  <c r="F33" i="59"/>
  <c r="R37" i="59"/>
  <c r="F40" i="59"/>
  <c r="R41" i="59"/>
  <c r="J42" i="59"/>
  <c r="J48" i="59"/>
  <c r="F49" i="59"/>
  <c r="F53" i="59"/>
  <c r="J56" i="59"/>
  <c r="F58" i="59"/>
  <c r="Z12" i="60"/>
  <c r="L19" i="60"/>
  <c r="F26" i="60"/>
  <c r="V29" i="60"/>
  <c r="R33" i="60"/>
  <c r="F38" i="60"/>
  <c r="R45" i="60"/>
  <c r="V49" i="60"/>
  <c r="R54" i="60"/>
  <c r="R56" i="60"/>
  <c r="R65" i="60"/>
  <c r="L29" i="61"/>
  <c r="N29" i="61" s="1"/>
  <c r="J30" i="61"/>
  <c r="J31" i="61"/>
  <c r="V35" i="61"/>
  <c r="J38" i="61"/>
  <c r="J39" i="61"/>
  <c r="J44" i="61"/>
  <c r="Z18" i="62"/>
  <c r="V26" i="62"/>
  <c r="F35" i="62"/>
  <c r="F38" i="62"/>
  <c r="N45" i="62"/>
  <c r="L45" i="62"/>
  <c r="J52" i="62"/>
  <c r="V54" i="62"/>
  <c r="J60" i="62"/>
  <c r="V62" i="62"/>
  <c r="J75" i="62"/>
  <c r="F83" i="62"/>
  <c r="J53" i="63"/>
  <c r="F82" i="65"/>
  <c r="F75" i="65"/>
  <c r="F47" i="65"/>
  <c r="F43" i="65"/>
  <c r="F35" i="65"/>
  <c r="F27" i="65"/>
  <c r="F19" i="65"/>
  <c r="F88" i="65"/>
  <c r="F78" i="65"/>
  <c r="F74" i="65"/>
  <c r="F65" i="65"/>
  <c r="F62" i="65"/>
  <c r="F57" i="65"/>
  <c r="F54" i="65"/>
  <c r="F46" i="65"/>
  <c r="F42" i="65"/>
  <c r="F34" i="65"/>
  <c r="F26" i="65"/>
  <c r="F84" i="65"/>
  <c r="F77" i="65"/>
  <c r="F53" i="65"/>
  <c r="F45" i="65"/>
  <c r="F41" i="65"/>
  <c r="F32" i="65"/>
  <c r="F25" i="65"/>
  <c r="F81" i="65"/>
  <c r="F71" i="65"/>
  <c r="F67" i="65"/>
  <c r="F64" i="65"/>
  <c r="F59" i="65"/>
  <c r="F56" i="65"/>
  <c r="F52" i="65"/>
  <c r="F40" i="65"/>
  <c r="F24" i="65"/>
  <c r="F83" i="65"/>
  <c r="F73" i="65"/>
  <c r="F70" i="65"/>
  <c r="F66" i="65"/>
  <c r="F61" i="65"/>
  <c r="F58" i="65"/>
  <c r="F50" i="65"/>
  <c r="F38" i="65"/>
  <c r="F33" i="65"/>
  <c r="F22" i="65"/>
  <c r="F72" i="65"/>
  <c r="F69" i="65"/>
  <c r="F51" i="65"/>
  <c r="F48" i="65"/>
  <c r="F20" i="65"/>
  <c r="L12" i="65"/>
  <c r="N12" i="65" s="1"/>
  <c r="F49" i="65"/>
  <c r="F21" i="65"/>
  <c r="F39" i="65"/>
  <c r="F28" i="65"/>
  <c r="F76" i="65"/>
  <c r="F68" i="65"/>
  <c r="F55" i="65"/>
  <c r="F37" i="65"/>
  <c r="F23" i="65"/>
  <c r="X14" i="65"/>
  <c r="P12" i="65"/>
  <c r="D30" i="65"/>
  <c r="F44" i="65"/>
  <c r="F63" i="65"/>
  <c r="R22" i="61"/>
  <c r="F26" i="61"/>
  <c r="F30" i="61"/>
  <c r="R34" i="61"/>
  <c r="F38" i="61"/>
  <c r="R46" i="61"/>
  <c r="Z47" i="61"/>
  <c r="N49" i="61"/>
  <c r="F50" i="61"/>
  <c r="F55" i="61"/>
  <c r="F61" i="61"/>
  <c r="R14" i="62"/>
  <c r="R18" i="62"/>
  <c r="R21" i="62"/>
  <c r="R29" i="62"/>
  <c r="R33" i="62"/>
  <c r="R49" i="62"/>
  <c r="R54" i="62"/>
  <c r="R57" i="62"/>
  <c r="R62" i="62"/>
  <c r="R65" i="62"/>
  <c r="R69" i="62"/>
  <c r="R73" i="62"/>
  <c r="F75" i="63"/>
  <c r="F71" i="63"/>
  <c r="F68" i="63"/>
  <c r="F63" i="63"/>
  <c r="F60" i="63"/>
  <c r="F44" i="63"/>
  <c r="F40" i="63"/>
  <c r="F31" i="63"/>
  <c r="F24" i="63"/>
  <c r="F59" i="63"/>
  <c r="F54" i="63"/>
  <c r="F51" i="63"/>
  <c r="F43" i="63"/>
  <c r="F39" i="63"/>
  <c r="F23" i="63"/>
  <c r="F74" i="63"/>
  <c r="F70" i="63"/>
  <c r="F65" i="63"/>
  <c r="F78" i="63"/>
  <c r="F73" i="63"/>
  <c r="F56" i="63"/>
  <c r="F53" i="63"/>
  <c r="F49" i="63"/>
  <c r="F37" i="63"/>
  <c r="F32" i="63"/>
  <c r="F21" i="63"/>
  <c r="F58" i="63"/>
  <c r="F55" i="63"/>
  <c r="F47" i="63"/>
  <c r="F35" i="63"/>
  <c r="D29" i="63"/>
  <c r="F27" i="63"/>
  <c r="F19" i="63"/>
  <c r="F17" i="63"/>
  <c r="F25" i="63"/>
  <c r="F26" i="63"/>
  <c r="Z32" i="63"/>
  <c r="L16" i="64"/>
  <c r="R27" i="64"/>
  <c r="V42" i="65"/>
  <c r="N57" i="65"/>
  <c r="Z59" i="65"/>
  <c r="V78" i="65"/>
  <c r="X21" i="66"/>
  <c r="F21" i="61"/>
  <c r="F33" i="61"/>
  <c r="R37" i="61"/>
  <c r="F40" i="61"/>
  <c r="R41" i="61"/>
  <c r="F45" i="61"/>
  <c r="F52" i="61"/>
  <c r="R53" i="61"/>
  <c r="R59" i="61"/>
  <c r="P16" i="62"/>
  <c r="R24" i="62"/>
  <c r="R36" i="62"/>
  <c r="R41" i="62"/>
  <c r="R44" i="62"/>
  <c r="R75" i="62"/>
  <c r="R79" i="62"/>
  <c r="R82" i="62"/>
  <c r="R83" i="62"/>
  <c r="N89" i="62"/>
  <c r="R93" i="62"/>
  <c r="F33" i="63"/>
  <c r="F38" i="63"/>
  <c r="F45" i="63"/>
  <c r="N52" i="63"/>
  <c r="Z56" i="63"/>
  <c r="F61" i="63"/>
  <c r="F67" i="63"/>
  <c r="F69" i="63"/>
  <c r="F72" i="63"/>
  <c r="F82" i="63"/>
  <c r="R16" i="64"/>
  <c r="R19" i="64"/>
  <c r="D29" i="64"/>
  <c r="Z33" i="65"/>
  <c r="V54" i="65"/>
  <c r="V56" i="65"/>
  <c r="X76" i="65"/>
  <c r="Z76" i="65" s="1"/>
  <c r="P26" i="66"/>
  <c r="D16" i="61"/>
  <c r="R19" i="61"/>
  <c r="F22" i="61"/>
  <c r="R26" i="61"/>
  <c r="F29" i="61"/>
  <c r="R30" i="61"/>
  <c r="F34" i="61"/>
  <c r="R38" i="61"/>
  <c r="F46" i="61"/>
  <c r="R47" i="61"/>
  <c r="F49" i="61"/>
  <c r="R50" i="61"/>
  <c r="F57" i="61"/>
  <c r="F64" i="61"/>
  <c r="R16" i="62"/>
  <c r="R25" i="62"/>
  <c r="R30" i="62"/>
  <c r="R37" i="62"/>
  <c r="R50" i="62"/>
  <c r="R53" i="62"/>
  <c r="R58" i="62"/>
  <c r="R61" i="62"/>
  <c r="L74" i="62"/>
  <c r="N74" i="62" s="1"/>
  <c r="F22" i="63"/>
  <c r="F29" i="63"/>
  <c r="L32" i="63"/>
  <c r="N32" i="63" s="1"/>
  <c r="F50" i="63"/>
  <c r="F62" i="63"/>
  <c r="X78" i="63"/>
  <c r="T90" i="65"/>
  <c r="Z55" i="65"/>
  <c r="X71" i="65"/>
  <c r="Z71" i="65" s="1"/>
  <c r="P101" i="68"/>
  <c r="X101" i="68" s="1"/>
  <c r="Z101" i="68" s="1"/>
  <c r="X102" i="68"/>
  <c r="Z102" i="68" s="1"/>
  <c r="R89" i="62"/>
  <c r="R78" i="62"/>
  <c r="R97" i="62"/>
  <c r="R90" i="62"/>
  <c r="R19" i="62"/>
  <c r="R26" i="62"/>
  <c r="R38" i="62"/>
  <c r="R42" i="62"/>
  <c r="R47" i="62"/>
  <c r="R71" i="62"/>
  <c r="R85" i="62"/>
  <c r="R100" i="62"/>
  <c r="X54" i="63"/>
  <c r="Z54" i="63" s="1"/>
  <c r="R36" i="64"/>
  <c r="R29" i="64"/>
  <c r="R21" i="64"/>
  <c r="P16" i="64"/>
  <c r="R24" i="64"/>
  <c r="R18" i="64"/>
  <c r="R14" i="64"/>
  <c r="R23" i="64"/>
  <c r="X44" i="65"/>
  <c r="Z44" i="65" s="1"/>
  <c r="Z61" i="65"/>
  <c r="X67" i="65"/>
  <c r="Z67" i="65" s="1"/>
  <c r="Z52" i="68"/>
  <c r="X52" i="68"/>
  <c r="V52" i="68"/>
  <c r="L15" i="69"/>
  <c r="D12" i="69"/>
  <c r="L24" i="69"/>
  <c r="N24" i="69" s="1"/>
  <c r="J24" i="69"/>
  <c r="F25" i="61"/>
  <c r="R33" i="61"/>
  <c r="F37" i="61"/>
  <c r="F41" i="61"/>
  <c r="R42" i="61"/>
  <c r="F44" i="61"/>
  <c r="F53" i="61"/>
  <c r="X12" i="62"/>
  <c r="R20" i="62"/>
  <c r="R28" i="62"/>
  <c r="R32" i="62"/>
  <c r="R40" i="62"/>
  <c r="R45" i="62"/>
  <c r="R48" i="62"/>
  <c r="R68" i="62"/>
  <c r="R72" i="62"/>
  <c r="R86" i="62"/>
  <c r="R87" i="62"/>
  <c r="F42" i="63"/>
  <c r="F48" i="63"/>
  <c r="L56" i="63"/>
  <c r="N56" i="63" s="1"/>
  <c r="X69" i="63"/>
  <c r="N75" i="63"/>
  <c r="X12" i="64"/>
  <c r="N18" i="64"/>
  <c r="R25" i="64"/>
  <c r="V83" i="65"/>
  <c r="V80" i="65"/>
  <c r="V70" i="65"/>
  <c r="V66" i="65"/>
  <c r="V58" i="65"/>
  <c r="V50" i="65"/>
  <c r="V38" i="65"/>
  <c r="V22" i="65"/>
  <c r="V69" i="65"/>
  <c r="V65" i="65"/>
  <c r="V57" i="65"/>
  <c r="V49" i="65"/>
  <c r="V37" i="65"/>
  <c r="V21" i="65"/>
  <c r="V86" i="65"/>
  <c r="V82" i="65"/>
  <c r="V72" i="65"/>
  <c r="V68" i="65"/>
  <c r="V60" i="65"/>
  <c r="V48" i="65"/>
  <c r="V36" i="65"/>
  <c r="V32" i="65"/>
  <c r="V28" i="65"/>
  <c r="V20" i="65"/>
  <c r="V75" i="65"/>
  <c r="V71" i="65"/>
  <c r="V67" i="65"/>
  <c r="V59" i="65"/>
  <c r="V47" i="65"/>
  <c r="V43" i="65"/>
  <c r="V35" i="65"/>
  <c r="V27" i="65"/>
  <c r="V19" i="65"/>
  <c r="V88" i="65"/>
  <c r="V81" i="65"/>
  <c r="V77" i="65"/>
  <c r="V73" i="65"/>
  <c r="V61" i="65"/>
  <c r="V53" i="65"/>
  <c r="V45" i="65"/>
  <c r="V41" i="65"/>
  <c r="V33" i="65"/>
  <c r="V25" i="65"/>
  <c r="L33" i="65"/>
  <c r="N33" i="65" s="1"/>
  <c r="V44" i="65"/>
  <c r="V52" i="65"/>
  <c r="X59" i="65"/>
  <c r="N63" i="65"/>
  <c r="N73" i="65"/>
  <c r="V74" i="65"/>
  <c r="V84" i="65"/>
  <c r="X58" i="69"/>
  <c r="Z58" i="69" s="1"/>
  <c r="V58" i="69"/>
  <c r="V22" i="63"/>
  <c r="T29" i="63"/>
  <c r="V38" i="63"/>
  <c r="V42" i="63"/>
  <c r="V50" i="63"/>
  <c r="V58" i="63"/>
  <c r="V62" i="63"/>
  <c r="V70" i="63"/>
  <c r="V74" i="63"/>
  <c r="F16" i="64"/>
  <c r="V16" i="64"/>
  <c r="V22" i="64"/>
  <c r="J24" i="64"/>
  <c r="J21" i="65"/>
  <c r="H30" i="65"/>
  <c r="J37" i="65"/>
  <c r="J49" i="65"/>
  <c r="J55" i="65"/>
  <c r="J63" i="65"/>
  <c r="J69" i="65"/>
  <c r="L14" i="66"/>
  <c r="N24" i="66"/>
  <c r="L24" i="66"/>
  <c r="T106" i="68"/>
  <c r="F45" i="68"/>
  <c r="Z69" i="68"/>
  <c r="X69" i="68"/>
  <c r="F71" i="68"/>
  <c r="Z96" i="68"/>
  <c r="N35" i="69"/>
  <c r="X55" i="69"/>
  <c r="Z55" i="69" s="1"/>
  <c r="V24" i="63"/>
  <c r="V32" i="63"/>
  <c r="V40" i="63"/>
  <c r="V44" i="63"/>
  <c r="V56" i="63"/>
  <c r="V60" i="63"/>
  <c r="V68" i="63"/>
  <c r="V78" i="63"/>
  <c r="F25" i="64"/>
  <c r="F31" i="64"/>
  <c r="J33" i="65"/>
  <c r="J39" i="65"/>
  <c r="J51" i="65"/>
  <c r="J61" i="65"/>
  <c r="J73" i="65"/>
  <c r="N42" i="68"/>
  <c r="F57" i="68"/>
  <c r="Z92" i="68"/>
  <c r="F97" i="68"/>
  <c r="X46" i="69"/>
  <c r="Z46" i="69" s="1"/>
  <c r="N68" i="69"/>
  <c r="L68" i="69"/>
  <c r="D77" i="78"/>
  <c r="F22" i="64"/>
  <c r="F27" i="64"/>
  <c r="F33" i="64"/>
  <c r="J18" i="65"/>
  <c r="J40" i="65"/>
  <c r="J52" i="65"/>
  <c r="J56" i="65"/>
  <c r="J64" i="65"/>
  <c r="J81" i="65"/>
  <c r="F89" i="68"/>
  <c r="F85" i="68"/>
  <c r="F73" i="68"/>
  <c r="F70" i="68"/>
  <c r="F65" i="68"/>
  <c r="F62" i="68"/>
  <c r="F54" i="68"/>
  <c r="F50" i="68"/>
  <c r="F41" i="68"/>
  <c r="F34" i="68"/>
  <c r="F26" i="68"/>
  <c r="F102" i="68"/>
  <c r="F96" i="68"/>
  <c r="F92" i="68"/>
  <c r="F81" i="68"/>
  <c r="F76" i="68"/>
  <c r="F61" i="68"/>
  <c r="F53" i="68"/>
  <c r="F49" i="68"/>
  <c r="F33" i="68"/>
  <c r="F25" i="68"/>
  <c r="F88" i="68"/>
  <c r="F84" i="68"/>
  <c r="F72" i="68"/>
  <c r="F67" i="68"/>
  <c r="F64" i="68"/>
  <c r="F60" i="68"/>
  <c r="F48" i="68"/>
  <c r="F32" i="68"/>
  <c r="F24" i="68"/>
  <c r="F104" i="68"/>
  <c r="F98" i="68"/>
  <c r="F95" i="68"/>
  <c r="F91" i="68"/>
  <c r="F87" i="68"/>
  <c r="F83" i="68"/>
  <c r="F78" i="68"/>
  <c r="F75" i="68"/>
  <c r="F59" i="68"/>
  <c r="F47" i="68"/>
  <c r="F42" i="68"/>
  <c r="F31" i="68"/>
  <c r="F23" i="68"/>
  <c r="F18" i="68"/>
  <c r="F94" i="68"/>
  <c r="F90" i="68"/>
  <c r="F86" i="68"/>
  <c r="F74" i="68"/>
  <c r="F69" i="68"/>
  <c r="F66" i="68"/>
  <c r="F58" i="68"/>
  <c r="F46" i="68"/>
  <c r="F30" i="68"/>
  <c r="F22" i="68"/>
  <c r="F99" i="68"/>
  <c r="F82" i="68"/>
  <c r="F79" i="68"/>
  <c r="F55" i="68"/>
  <c r="F51" i="68"/>
  <c r="F43" i="68"/>
  <c r="F35" i="68"/>
  <c r="F27" i="68"/>
  <c r="F19" i="68"/>
  <c r="X14" i="68"/>
  <c r="P12" i="68"/>
  <c r="F44" i="68"/>
  <c r="Z80" i="68"/>
  <c r="X80" i="68"/>
  <c r="X35" i="69"/>
  <c r="Z35" i="69" s="1"/>
  <c r="V46" i="69"/>
  <c r="L60" i="69"/>
  <c r="N60" i="69" s="1"/>
  <c r="J68" i="69"/>
  <c r="Z45" i="72"/>
  <c r="X45" i="72"/>
  <c r="V45" i="72"/>
  <c r="V45" i="75"/>
  <c r="X17" i="63"/>
  <c r="Z17" i="63" s="1"/>
  <c r="V18" i="63"/>
  <c r="V26" i="63"/>
  <c r="V34" i="63"/>
  <c r="V46" i="63"/>
  <c r="V54" i="63"/>
  <c r="V66" i="63"/>
  <c r="F14" i="64"/>
  <c r="V14" i="64"/>
  <c r="F18" i="64"/>
  <c r="L19" i="64"/>
  <c r="N19" i="64" s="1"/>
  <c r="J22" i="64"/>
  <c r="F23" i="64"/>
  <c r="L18" i="65"/>
  <c r="N18" i="65" s="1"/>
  <c r="J25" i="65"/>
  <c r="J41" i="65"/>
  <c r="J45" i="65"/>
  <c r="J53" i="65"/>
  <c r="J59" i="65"/>
  <c r="J67" i="65"/>
  <c r="J71" i="65"/>
  <c r="J77" i="65"/>
  <c r="L18" i="66"/>
  <c r="V80" i="68"/>
  <c r="N82" i="68"/>
  <c r="L82" i="68"/>
  <c r="F93" i="68"/>
  <c r="F103" i="68"/>
  <c r="Z25" i="69"/>
  <c r="N48" i="69"/>
  <c r="L48" i="69"/>
  <c r="Z50" i="69"/>
  <c r="J60" i="69"/>
  <c r="Z68" i="69"/>
  <c r="V19" i="63"/>
  <c r="V27" i="63"/>
  <c r="V31" i="63"/>
  <c r="V35" i="63"/>
  <c r="V47" i="63"/>
  <c r="V55" i="63"/>
  <c r="V63" i="63"/>
  <c r="V71" i="63"/>
  <c r="L12" i="64"/>
  <c r="J23" i="64"/>
  <c r="J27" i="64"/>
  <c r="J26" i="65"/>
  <c r="J32" i="65"/>
  <c r="J34" i="65"/>
  <c r="J42" i="65"/>
  <c r="J46" i="65"/>
  <c r="J54" i="65"/>
  <c r="J62" i="65"/>
  <c r="J74" i="65"/>
  <c r="J78" i="65"/>
  <c r="J88" i="65"/>
  <c r="F20" i="68"/>
  <c r="F21" i="68"/>
  <c r="F56" i="68"/>
  <c r="F63" i="68"/>
  <c r="F68" i="68"/>
  <c r="F108" i="68"/>
  <c r="J48" i="69"/>
  <c r="N55" i="69"/>
  <c r="V61" i="70"/>
  <c r="V53" i="70"/>
  <c r="V45" i="70"/>
  <c r="V41" i="70"/>
  <c r="V33" i="70"/>
  <c r="V25" i="70"/>
  <c r="V76" i="70"/>
  <c r="V64" i="70"/>
  <c r="V56" i="70"/>
  <c r="V52" i="70"/>
  <c r="V44" i="70"/>
  <c r="V40" i="70"/>
  <c r="V73" i="70"/>
  <c r="V63" i="70"/>
  <c r="V55" i="70"/>
  <c r="V51" i="70"/>
  <c r="V39" i="70"/>
  <c r="T30" i="70"/>
  <c r="V30" i="70" s="1"/>
  <c r="V23" i="70"/>
  <c r="V66" i="70"/>
  <c r="V58" i="70"/>
  <c r="V50" i="70"/>
  <c r="V38" i="70"/>
  <c r="V22" i="70"/>
  <c r="V75" i="70"/>
  <c r="V69" i="70"/>
  <c r="V65" i="70"/>
  <c r="V57" i="70"/>
  <c r="V49" i="70"/>
  <c r="V37" i="70"/>
  <c r="V21" i="70"/>
  <c r="V80" i="70"/>
  <c r="V68" i="70"/>
  <c r="V60" i="70"/>
  <c r="V48" i="70"/>
  <c r="V36" i="70"/>
  <c r="V32" i="70"/>
  <c r="V28" i="70"/>
  <c r="V26" i="70"/>
  <c r="V20" i="70"/>
  <c r="V59" i="70"/>
  <c r="V42" i="70"/>
  <c r="V27" i="70"/>
  <c r="V46" i="70"/>
  <c r="V70" i="70"/>
  <c r="V47" i="70"/>
  <c r="V43" i="70"/>
  <c r="V34" i="70"/>
  <c r="V24" i="70"/>
  <c r="V71" i="70"/>
  <c r="V62" i="70"/>
  <c r="V35" i="70"/>
  <c r="V19" i="70"/>
  <c r="D39" i="68"/>
  <c r="F52" i="68"/>
  <c r="N63" i="68"/>
  <c r="L63" i="68"/>
  <c r="F77" i="68"/>
  <c r="N52" i="69"/>
  <c r="V18" i="70"/>
  <c r="N33" i="70"/>
  <c r="J33" i="70"/>
  <c r="Z67" i="70"/>
  <c r="N56" i="72"/>
  <c r="F14" i="66"/>
  <c r="V14" i="66"/>
  <c r="F18" i="66"/>
  <c r="V18" i="66"/>
  <c r="J22" i="66"/>
  <c r="F24" i="66"/>
  <c r="V24" i="66"/>
  <c r="J28" i="66"/>
  <c r="F30" i="66"/>
  <c r="V30" i="66"/>
  <c r="V22" i="68"/>
  <c r="J26" i="68"/>
  <c r="V30" i="68"/>
  <c r="J34" i="68"/>
  <c r="V46" i="68"/>
  <c r="J50" i="68"/>
  <c r="J54" i="68"/>
  <c r="V58" i="68"/>
  <c r="J62" i="68"/>
  <c r="V66" i="68"/>
  <c r="J70" i="68"/>
  <c r="V74" i="68"/>
  <c r="J76" i="68"/>
  <c r="V82" i="68"/>
  <c r="V86" i="68"/>
  <c r="V90" i="68"/>
  <c r="J92" i="68"/>
  <c r="V94" i="68"/>
  <c r="J96" i="68"/>
  <c r="D101" i="68"/>
  <c r="V20" i="69"/>
  <c r="V24" i="69"/>
  <c r="V28" i="69"/>
  <c r="J32" i="69"/>
  <c r="J36" i="69"/>
  <c r="V40" i="69"/>
  <c r="J44" i="69"/>
  <c r="V48" i="69"/>
  <c r="J50" i="69"/>
  <c r="J56" i="69"/>
  <c r="V60" i="69"/>
  <c r="J64" i="69"/>
  <c r="L65" i="69"/>
  <c r="N65" i="69" s="1"/>
  <c r="L15" i="70"/>
  <c r="D12" i="70"/>
  <c r="X67" i="70"/>
  <c r="N70" i="70"/>
  <c r="L70" i="70"/>
  <c r="J16" i="71"/>
  <c r="N20" i="71"/>
  <c r="L20" i="71"/>
  <c r="N45" i="72"/>
  <c r="X54" i="72"/>
  <c r="Z54" i="72" s="1"/>
  <c r="L56" i="72"/>
  <c r="Z65" i="72"/>
  <c r="F72" i="72"/>
  <c r="D12" i="74"/>
  <c r="N57" i="74"/>
  <c r="L57" i="74"/>
  <c r="J19" i="79"/>
  <c r="J30" i="79"/>
  <c r="J24" i="79"/>
  <c r="J16" i="79"/>
  <c r="J21" i="79"/>
  <c r="H16" i="79"/>
  <c r="J35" i="79"/>
  <c r="J28" i="79"/>
  <c r="J23" i="79"/>
  <c r="J20" i="79"/>
  <c r="J18" i="79"/>
  <c r="J14" i="79"/>
  <c r="N12" i="79"/>
  <c r="J26" i="79"/>
  <c r="J32" i="79"/>
  <c r="J22" i="79"/>
  <c r="L12" i="79"/>
  <c r="D16" i="66"/>
  <c r="T16" i="66"/>
  <c r="R19" i="66"/>
  <c r="F21" i="66"/>
  <c r="V21" i="66"/>
  <c r="R22" i="66"/>
  <c r="R28" i="66"/>
  <c r="J21" i="68"/>
  <c r="V25" i="68"/>
  <c r="J29" i="68"/>
  <c r="V33" i="68"/>
  <c r="J37" i="68"/>
  <c r="V39" i="68"/>
  <c r="J45" i="68"/>
  <c r="V49" i="68"/>
  <c r="V53" i="68"/>
  <c r="J57" i="68"/>
  <c r="V61" i="68"/>
  <c r="J63" i="68"/>
  <c r="V69" i="68"/>
  <c r="J71" i="68"/>
  <c r="J77" i="68"/>
  <c r="V81" i="68"/>
  <c r="J93" i="68"/>
  <c r="J97" i="68"/>
  <c r="J101" i="68"/>
  <c r="T22" i="69"/>
  <c r="J27" i="69"/>
  <c r="V35" i="69"/>
  <c r="J39" i="69"/>
  <c r="V43" i="69"/>
  <c r="V47" i="69"/>
  <c r="V55" i="69"/>
  <c r="V59" i="69"/>
  <c r="V63" i="69"/>
  <c r="P68" i="69"/>
  <c r="X68" i="69" s="1"/>
  <c r="X69" i="69"/>
  <c r="Z69" i="69" s="1"/>
  <c r="N59" i="70"/>
  <c r="F20" i="71"/>
  <c r="F16" i="71"/>
  <c r="F34" i="71"/>
  <c r="F31" i="71"/>
  <c r="F27" i="71"/>
  <c r="F24" i="71"/>
  <c r="F21" i="71"/>
  <c r="F18" i="71"/>
  <c r="F36" i="71"/>
  <c r="F33" i="71"/>
  <c r="F29" i="71"/>
  <c r="F25" i="71"/>
  <c r="D18" i="71"/>
  <c r="F15" i="71"/>
  <c r="L12" i="71"/>
  <c r="Z15" i="71"/>
  <c r="T18" i="71"/>
  <c r="X22" i="71"/>
  <c r="N16" i="72"/>
  <c r="N21" i="72"/>
  <c r="F29" i="72"/>
  <c r="L23" i="74"/>
  <c r="F84" i="75"/>
  <c r="F79" i="75"/>
  <c r="F66" i="75"/>
  <c r="F43" i="75"/>
  <c r="F35" i="75"/>
  <c r="F31" i="75"/>
  <c r="F88" i="75"/>
  <c r="F82" i="75"/>
  <c r="F69" i="75"/>
  <c r="F62" i="75"/>
  <c r="F57" i="75"/>
  <c r="F54" i="75"/>
  <c r="F49" i="75"/>
  <c r="F46" i="75"/>
  <c r="F42" i="75"/>
  <c r="F30" i="75"/>
  <c r="F17" i="75"/>
  <c r="F76" i="75"/>
  <c r="F72" i="75"/>
  <c r="F65" i="75"/>
  <c r="F41" i="75"/>
  <c r="F29" i="75"/>
  <c r="F24" i="75"/>
  <c r="F68" i="75"/>
  <c r="F64" i="75"/>
  <c r="F59" i="75"/>
  <c r="F56" i="75"/>
  <c r="F51" i="75"/>
  <c r="F48" i="75"/>
  <c r="F40" i="75"/>
  <c r="F28" i="75"/>
  <c r="F21" i="75"/>
  <c r="F78" i="75"/>
  <c r="F75" i="75"/>
  <c r="F71" i="75"/>
  <c r="F67" i="75"/>
  <c r="F39" i="75"/>
  <c r="F34" i="75"/>
  <c r="F27" i="75"/>
  <c r="D21" i="75"/>
  <c r="F19" i="75"/>
  <c r="F80" i="75"/>
  <c r="F63" i="75"/>
  <c r="F60" i="75"/>
  <c r="F55" i="75"/>
  <c r="F52" i="75"/>
  <c r="F47" i="75"/>
  <c r="F44" i="75"/>
  <c r="F36" i="75"/>
  <c r="F32" i="75"/>
  <c r="F23" i="75"/>
  <c r="F61" i="75"/>
  <c r="F50" i="75"/>
  <c r="F33" i="75"/>
  <c r="F45" i="75"/>
  <c r="F37" i="75"/>
  <c r="L12" i="75"/>
  <c r="F38" i="75"/>
  <c r="F25" i="75"/>
  <c r="F77" i="75"/>
  <c r="F73" i="75"/>
  <c r="F58" i="75"/>
  <c r="F26" i="75"/>
  <c r="F16" i="66"/>
  <c r="V16" i="66"/>
  <c r="V22" i="66"/>
  <c r="F26" i="66"/>
  <c r="V26" i="66"/>
  <c r="V28" i="66"/>
  <c r="F33" i="66"/>
  <c r="V33" i="66"/>
  <c r="V18" i="68"/>
  <c r="J22" i="68"/>
  <c r="V26" i="68"/>
  <c r="J30" i="68"/>
  <c r="V34" i="68"/>
  <c r="H39" i="68"/>
  <c r="V42" i="68"/>
  <c r="J46" i="68"/>
  <c r="V50" i="68"/>
  <c r="J52" i="68"/>
  <c r="V54" i="68"/>
  <c r="J58" i="68"/>
  <c r="V62" i="68"/>
  <c r="J66" i="68"/>
  <c r="V70" i="68"/>
  <c r="J74" i="68"/>
  <c r="V78" i="68"/>
  <c r="J80" i="68"/>
  <c r="J86" i="68"/>
  <c r="J90" i="68"/>
  <c r="J94" i="68"/>
  <c r="V98" i="68"/>
  <c r="V102" i="68"/>
  <c r="J66" i="69"/>
  <c r="J69" i="69"/>
  <c r="J65" i="69"/>
  <c r="J20" i="69"/>
  <c r="J28" i="69"/>
  <c r="V32" i="69"/>
  <c r="V36" i="69"/>
  <c r="J40" i="69"/>
  <c r="V44" i="69"/>
  <c r="J46" i="69"/>
  <c r="V52" i="69"/>
  <c r="V56" i="69"/>
  <c r="J58" i="69"/>
  <c r="V64" i="69"/>
  <c r="X59" i="70"/>
  <c r="Z59" i="70" s="1"/>
  <c r="J24" i="71"/>
  <c r="J21" i="71"/>
  <c r="J18" i="71"/>
  <c r="J36" i="71"/>
  <c r="J33" i="71"/>
  <c r="J29" i="71"/>
  <c r="J25" i="71"/>
  <c r="H18" i="71"/>
  <c r="J15" i="71"/>
  <c r="J22" i="71"/>
  <c r="N12" i="71"/>
  <c r="X29" i="71"/>
  <c r="X21" i="72"/>
  <c r="F34" i="72"/>
  <c r="L47" i="72"/>
  <c r="N47" i="72" s="1"/>
  <c r="L59" i="72"/>
  <c r="N59" i="72" s="1"/>
  <c r="N23" i="74"/>
  <c r="V53" i="74"/>
  <c r="L13" i="75"/>
  <c r="N13" i="75" s="1"/>
  <c r="F70" i="75"/>
  <c r="D12" i="76"/>
  <c r="L13" i="76"/>
  <c r="N13" i="76" s="1"/>
  <c r="H16" i="66"/>
  <c r="F19" i="66"/>
  <c r="J21" i="66"/>
  <c r="V19" i="68"/>
  <c r="J23" i="68"/>
  <c r="V27" i="68"/>
  <c r="J31" i="68"/>
  <c r="V35" i="68"/>
  <c r="J39" i="68"/>
  <c r="V43" i="68"/>
  <c r="J47" i="68"/>
  <c r="V51" i="68"/>
  <c r="V55" i="68"/>
  <c r="J59" i="68"/>
  <c r="V67" i="68"/>
  <c r="J69" i="68"/>
  <c r="J75" i="68"/>
  <c r="V79" i="68"/>
  <c r="J83" i="68"/>
  <c r="J87" i="68"/>
  <c r="J91" i="68"/>
  <c r="J95" i="68"/>
  <c r="V99" i="68"/>
  <c r="J104" i="68"/>
  <c r="H22" i="69"/>
  <c r="V25" i="69"/>
  <c r="J29" i="69"/>
  <c r="V33" i="69"/>
  <c r="J35" i="69"/>
  <c r="V37" i="69"/>
  <c r="J41" i="69"/>
  <c r="V45" i="69"/>
  <c r="J49" i="69"/>
  <c r="V53" i="69"/>
  <c r="J55" i="69"/>
  <c r="V57" i="69"/>
  <c r="J61" i="69"/>
  <c r="V69" i="69"/>
  <c r="J73" i="69"/>
  <c r="X14" i="70"/>
  <c r="Z14" i="70" s="1"/>
  <c r="P12" i="70"/>
  <c r="N18" i="70"/>
  <c r="J27" i="71"/>
  <c r="J34" i="71"/>
  <c r="F63" i="72"/>
  <c r="F59" i="72"/>
  <c r="F52" i="72"/>
  <c r="F47" i="72"/>
  <c r="F44" i="72"/>
  <c r="F40" i="72"/>
  <c r="F28" i="72"/>
  <c r="F77" i="72"/>
  <c r="F70" i="72"/>
  <c r="F55" i="72"/>
  <c r="F39" i="72"/>
  <c r="F27" i="72"/>
  <c r="F22" i="72"/>
  <c r="F65" i="72"/>
  <c r="F62" i="72"/>
  <c r="F58" i="72"/>
  <c r="F49" i="72"/>
  <c r="F46" i="72"/>
  <c r="F38" i="72"/>
  <c r="F26" i="72"/>
  <c r="F19" i="72"/>
  <c r="F61" i="72"/>
  <c r="F57" i="72"/>
  <c r="F37" i="72"/>
  <c r="F32" i="72"/>
  <c r="F25" i="72"/>
  <c r="D19" i="72"/>
  <c r="F17" i="72"/>
  <c r="F64" i="72"/>
  <c r="F60" i="72"/>
  <c r="F51" i="72"/>
  <c r="F48" i="72"/>
  <c r="F43" i="72"/>
  <c r="F36" i="72"/>
  <c r="F24" i="72"/>
  <c r="L12" i="72"/>
  <c r="N12" i="72" s="1"/>
  <c r="F74" i="72"/>
  <c r="F68" i="72"/>
  <c r="F54" i="72"/>
  <c r="F35" i="72"/>
  <c r="F31" i="72"/>
  <c r="F23" i="72"/>
  <c r="Z21" i="72"/>
  <c r="F33" i="72"/>
  <c r="F41" i="72"/>
  <c r="J47" i="72"/>
  <c r="J59" i="72"/>
  <c r="X16" i="73"/>
  <c r="Z16" i="73" s="1"/>
  <c r="J19" i="73"/>
  <c r="H25" i="73"/>
  <c r="J42" i="68"/>
  <c r="V44" i="68"/>
  <c r="J48" i="68"/>
  <c r="V56" i="68"/>
  <c r="J60" i="68"/>
  <c r="J64" i="68"/>
  <c r="V68" i="68"/>
  <c r="J72" i="68"/>
  <c r="V76" i="68"/>
  <c r="J78" i="68"/>
  <c r="J84" i="68"/>
  <c r="J88" i="68"/>
  <c r="V92" i="68"/>
  <c r="V96" i="68"/>
  <c r="J98" i="68"/>
  <c r="V106" i="68"/>
  <c r="V108" i="68"/>
  <c r="J52" i="69"/>
  <c r="V54" i="69"/>
  <c r="J62" i="69"/>
  <c r="Z65" i="69"/>
  <c r="V66" i="69"/>
  <c r="V21" i="72"/>
  <c r="V19" i="73"/>
  <c r="T19" i="73"/>
  <c r="V27" i="73"/>
  <c r="V23" i="73"/>
  <c r="V17" i="73"/>
  <c r="V16" i="73"/>
  <c r="F53" i="75"/>
  <c r="F81" i="75"/>
  <c r="F22" i="66"/>
  <c r="V21" i="68"/>
  <c r="J25" i="68"/>
  <c r="V29" i="68"/>
  <c r="J33" i="68"/>
  <c r="V37" i="68"/>
  <c r="V41" i="68"/>
  <c r="V45" i="68"/>
  <c r="J49" i="68"/>
  <c r="J53" i="68"/>
  <c r="V57" i="68"/>
  <c r="J61" i="68"/>
  <c r="V65" i="68"/>
  <c r="J67" i="68"/>
  <c r="V73" i="68"/>
  <c r="V77" i="68"/>
  <c r="J81" i="68"/>
  <c r="V85" i="68"/>
  <c r="V89" i="68"/>
  <c r="V93" i="68"/>
  <c r="V97" i="68"/>
  <c r="P12" i="69"/>
  <c r="J25" i="69"/>
  <c r="V27" i="69"/>
  <c r="J31" i="69"/>
  <c r="V39" i="69"/>
  <c r="J43" i="69"/>
  <c r="J47" i="69"/>
  <c r="V51" i="69"/>
  <c r="J59" i="69"/>
  <c r="J63" i="69"/>
  <c r="V65" i="69"/>
  <c r="V73" i="69"/>
  <c r="Z32" i="70"/>
  <c r="N61" i="70"/>
  <c r="N67" i="70"/>
  <c r="L74" i="70"/>
  <c r="D73" i="70"/>
  <c r="L73" i="70" s="1"/>
  <c r="N73" i="70" s="1"/>
  <c r="X33" i="71"/>
  <c r="F45" i="72"/>
  <c r="F50" i="72"/>
  <c r="L63" i="72"/>
  <c r="N63" i="72" s="1"/>
  <c r="J40" i="70"/>
  <c r="J52" i="70"/>
  <c r="J56" i="70"/>
  <c r="J64" i="70"/>
  <c r="J70" i="70"/>
  <c r="J16" i="72"/>
  <c r="V26" i="72"/>
  <c r="J30" i="72"/>
  <c r="J34" i="72"/>
  <c r="V38" i="72"/>
  <c r="J42" i="72"/>
  <c r="V46" i="72"/>
  <c r="J50" i="72"/>
  <c r="V54" i="72"/>
  <c r="R55" i="72"/>
  <c r="J56" i="72"/>
  <c r="V58" i="72"/>
  <c r="V62" i="72"/>
  <c r="J66" i="72"/>
  <c r="V68" i="72"/>
  <c r="J72" i="72"/>
  <c r="J84" i="74"/>
  <c r="J78" i="74"/>
  <c r="J70" i="74"/>
  <c r="J66" i="74"/>
  <c r="J62" i="74"/>
  <c r="J69" i="74"/>
  <c r="J65" i="74"/>
  <c r="J59" i="74"/>
  <c r="J45" i="74"/>
  <c r="J41" i="74"/>
  <c r="J29" i="74"/>
  <c r="J21" i="74"/>
  <c r="J74" i="74"/>
  <c r="J56" i="74"/>
  <c r="J50" i="74"/>
  <c r="J40" i="74"/>
  <c r="J28" i="74"/>
  <c r="J77" i="74"/>
  <c r="J61" i="74"/>
  <c r="J53" i="74"/>
  <c r="J47" i="74"/>
  <c r="J39" i="74"/>
  <c r="J33" i="74"/>
  <c r="J27" i="74"/>
  <c r="J19" i="74"/>
  <c r="J68" i="74"/>
  <c r="J64" i="74"/>
  <c r="J58" i="74"/>
  <c r="J44" i="74"/>
  <c r="J38" i="74"/>
  <c r="J26" i="74"/>
  <c r="J18" i="74"/>
  <c r="J75" i="74"/>
  <c r="J71" i="74"/>
  <c r="J67" i="74"/>
  <c r="J63" i="74"/>
  <c r="J57" i="74"/>
  <c r="J51" i="74"/>
  <c r="J43" i="74"/>
  <c r="J35" i="74"/>
  <c r="J31" i="74"/>
  <c r="J23" i="74"/>
  <c r="J24" i="74"/>
  <c r="Z33" i="74"/>
  <c r="J76" i="74"/>
  <c r="N47" i="75"/>
  <c r="Z61" i="75"/>
  <c r="N81" i="75"/>
  <c r="J25" i="70"/>
  <c r="J41" i="70"/>
  <c r="J45" i="70"/>
  <c r="J53" i="70"/>
  <c r="J59" i="70"/>
  <c r="J67" i="70"/>
  <c r="J74" i="70"/>
  <c r="V18" i="71"/>
  <c r="R24" i="71"/>
  <c r="R19" i="72"/>
  <c r="J21" i="72"/>
  <c r="J23" i="72"/>
  <c r="V27" i="72"/>
  <c r="R28" i="72"/>
  <c r="J31" i="72"/>
  <c r="J35" i="72"/>
  <c r="V39" i="72"/>
  <c r="R40" i="72"/>
  <c r="V43" i="72"/>
  <c r="R44" i="72"/>
  <c r="J45" i="72"/>
  <c r="R49" i="72"/>
  <c r="V51" i="72"/>
  <c r="R52" i="72"/>
  <c r="V55" i="72"/>
  <c r="R65" i="72"/>
  <c r="P70" i="72"/>
  <c r="D12" i="73"/>
  <c r="H21" i="74"/>
  <c r="J25" i="74"/>
  <c r="V33" i="74"/>
  <c r="L44" i="74"/>
  <c r="J54" i="74"/>
  <c r="J73" i="74"/>
  <c r="X77" i="74"/>
  <c r="J47" i="75"/>
  <c r="J52" i="75"/>
  <c r="X53" i="75"/>
  <c r="Z53" i="75" s="1"/>
  <c r="V61" i="75"/>
  <c r="N63" i="75"/>
  <c r="J73" i="75"/>
  <c r="J77" i="75"/>
  <c r="X81" i="75"/>
  <c r="Z81" i="75" s="1"/>
  <c r="X20" i="76"/>
  <c r="P28" i="76"/>
  <c r="Z26" i="77"/>
  <c r="J26" i="70"/>
  <c r="J32" i="70"/>
  <c r="J34" i="70"/>
  <c r="J42" i="70"/>
  <c r="J46" i="70"/>
  <c r="J54" i="70"/>
  <c r="J62" i="70"/>
  <c r="V21" i="71"/>
  <c r="R27" i="71"/>
  <c r="R31" i="71"/>
  <c r="R34" i="71"/>
  <c r="T19" i="72"/>
  <c r="V19" i="72" s="1"/>
  <c r="R22" i="72"/>
  <c r="J24" i="72"/>
  <c r="V28" i="72"/>
  <c r="R29" i="72"/>
  <c r="V32" i="72"/>
  <c r="R33" i="72"/>
  <c r="J36" i="72"/>
  <c r="V40" i="72"/>
  <c r="R41" i="72"/>
  <c r="V44" i="72"/>
  <c r="J48" i="72"/>
  <c r="V52" i="72"/>
  <c r="R53" i="72"/>
  <c r="J54" i="72"/>
  <c r="J60" i="72"/>
  <c r="J64" i="72"/>
  <c r="J68" i="72"/>
  <c r="R70" i="72"/>
  <c r="R77" i="72"/>
  <c r="J25" i="73"/>
  <c r="J21" i="73"/>
  <c r="J16" i="73"/>
  <c r="J55" i="74"/>
  <c r="L64" i="74"/>
  <c r="L68" i="74"/>
  <c r="N68" i="74" s="1"/>
  <c r="Z74" i="74"/>
  <c r="J88" i="75"/>
  <c r="J82" i="75"/>
  <c r="J76" i="75"/>
  <c r="J72" i="75"/>
  <c r="J62" i="75"/>
  <c r="J54" i="75"/>
  <c r="J46" i="75"/>
  <c r="J42" i="75"/>
  <c r="J30" i="75"/>
  <c r="J24" i="75"/>
  <c r="J65" i="75"/>
  <c r="J59" i="75"/>
  <c r="J51" i="75"/>
  <c r="J41" i="75"/>
  <c r="J29" i="75"/>
  <c r="J21" i="75"/>
  <c r="J78" i="75"/>
  <c r="J68" i="75"/>
  <c r="J64" i="75"/>
  <c r="J56" i="75"/>
  <c r="J48" i="75"/>
  <c r="J40" i="75"/>
  <c r="J34" i="75"/>
  <c r="J28" i="75"/>
  <c r="H21" i="75"/>
  <c r="J81" i="75"/>
  <c r="J75" i="75"/>
  <c r="J71" i="75"/>
  <c r="J67" i="75"/>
  <c r="J61" i="75"/>
  <c r="J53" i="75"/>
  <c r="J45" i="75"/>
  <c r="J39" i="75"/>
  <c r="J27" i="75"/>
  <c r="J19" i="75"/>
  <c r="J74" i="75"/>
  <c r="J70" i="75"/>
  <c r="J58" i="75"/>
  <c r="J50" i="75"/>
  <c r="J38" i="75"/>
  <c r="J26" i="75"/>
  <c r="J18" i="75"/>
  <c r="N12" i="75"/>
  <c r="J79" i="75"/>
  <c r="J69" i="75"/>
  <c r="J57" i="75"/>
  <c r="J49" i="75"/>
  <c r="J43" i="75"/>
  <c r="J35" i="75"/>
  <c r="J31" i="75"/>
  <c r="J17" i="75"/>
  <c r="J63" i="75"/>
  <c r="Z78" i="75"/>
  <c r="J20" i="76"/>
  <c r="H20" i="76"/>
  <c r="J26" i="76"/>
  <c r="J18" i="76"/>
  <c r="J17" i="76"/>
  <c r="J24" i="76"/>
  <c r="J22" i="76"/>
  <c r="J23" i="76"/>
  <c r="N16" i="76"/>
  <c r="L22" i="76"/>
  <c r="N22" i="76" s="1"/>
  <c r="J30" i="76"/>
  <c r="J19" i="70"/>
  <c r="J27" i="70"/>
  <c r="J35" i="70"/>
  <c r="J43" i="70"/>
  <c r="J47" i="70"/>
  <c r="J57" i="70"/>
  <c r="J65" i="70"/>
  <c r="J71" i="70"/>
  <c r="R16" i="71"/>
  <c r="R20" i="71"/>
  <c r="V24" i="71"/>
  <c r="J17" i="72"/>
  <c r="J25" i="72"/>
  <c r="V29" i="72"/>
  <c r="R30" i="72"/>
  <c r="V33" i="72"/>
  <c r="R34" i="72"/>
  <c r="J37" i="72"/>
  <c r="V41" i="72"/>
  <c r="R42" i="72"/>
  <c r="J43" i="72"/>
  <c r="R47" i="72"/>
  <c r="V49" i="72"/>
  <c r="R50" i="72"/>
  <c r="J51" i="72"/>
  <c r="V53" i="72"/>
  <c r="J57" i="72"/>
  <c r="R59" i="72"/>
  <c r="J61" i="72"/>
  <c r="R63" i="72"/>
  <c r="V65" i="72"/>
  <c r="R66" i="72"/>
  <c r="R72" i="72"/>
  <c r="P12" i="74"/>
  <c r="X23" i="74"/>
  <c r="Z23" i="74" s="1"/>
  <c r="J30" i="74"/>
  <c r="J34" i="74"/>
  <c r="X50" i="74"/>
  <c r="Z50" i="74" s="1"/>
  <c r="Z57" i="74"/>
  <c r="J72" i="74"/>
  <c r="V77" i="74"/>
  <c r="L23" i="75"/>
  <c r="N23" i="75" s="1"/>
  <c r="J25" i="75"/>
  <c r="V53" i="75"/>
  <c r="L55" i="75"/>
  <c r="V81" i="75"/>
  <c r="J16" i="76"/>
  <c r="D12" i="81"/>
  <c r="L15" i="81"/>
  <c r="N15" i="81" s="1"/>
  <c r="J48" i="70"/>
  <c r="J60" i="70"/>
  <c r="J68" i="70"/>
  <c r="J75" i="70"/>
  <c r="J80" i="70"/>
  <c r="H19" i="72"/>
  <c r="V22" i="72"/>
  <c r="J26" i="72"/>
  <c r="V30" i="72"/>
  <c r="J32" i="72"/>
  <c r="V34" i="72"/>
  <c r="J38" i="72"/>
  <c r="V42" i="72"/>
  <c r="J46" i="72"/>
  <c r="V50" i="72"/>
  <c r="R56" i="72"/>
  <c r="J58" i="72"/>
  <c r="J62" i="72"/>
  <c r="V66" i="72"/>
  <c r="V72" i="72"/>
  <c r="J16" i="74"/>
  <c r="J42" i="74"/>
  <c r="J46" i="74"/>
  <c r="J48" i="74"/>
  <c r="J49" i="74"/>
  <c r="J60" i="74"/>
  <c r="N64" i="74"/>
  <c r="J80" i="74"/>
  <c r="P12" i="75"/>
  <c r="X15" i="75"/>
  <c r="N55" i="75"/>
  <c r="J84" i="75"/>
  <c r="X26" i="76"/>
  <c r="T73" i="78"/>
  <c r="J21" i="70"/>
  <c r="H30" i="70"/>
  <c r="J37" i="70"/>
  <c r="J49" i="70"/>
  <c r="J55" i="70"/>
  <c r="J63" i="70"/>
  <c r="J69" i="70"/>
  <c r="Z12" i="71"/>
  <c r="V16" i="71"/>
  <c r="X12" i="72"/>
  <c r="Z12" i="72" s="1"/>
  <c r="J19" i="72"/>
  <c r="R21" i="72"/>
  <c r="V23" i="72"/>
  <c r="R24" i="72"/>
  <c r="J27" i="72"/>
  <c r="V31" i="72"/>
  <c r="V35" i="72"/>
  <c r="R36" i="72"/>
  <c r="J39" i="72"/>
  <c r="R45" i="72"/>
  <c r="V47" i="72"/>
  <c r="R48" i="72"/>
  <c r="J49" i="72"/>
  <c r="J55" i="72"/>
  <c r="V59" i="72"/>
  <c r="R60" i="72"/>
  <c r="P12" i="73"/>
  <c r="J17" i="73"/>
  <c r="J27" i="73"/>
  <c r="J17" i="74"/>
  <c r="J52" i="74"/>
  <c r="X53" i="74"/>
  <c r="Z53" i="74" s="1"/>
  <c r="Z61" i="74"/>
  <c r="J23" i="75"/>
  <c r="J33" i="75"/>
  <c r="X34" i="75"/>
  <c r="Z34" i="75" s="1"/>
  <c r="X45" i="75"/>
  <c r="Z45" i="75" s="1"/>
  <c r="J55" i="75"/>
  <c r="N66" i="75"/>
  <c r="Z20" i="76"/>
  <c r="T28" i="76"/>
  <c r="V28" i="76" s="1"/>
  <c r="V27" i="74"/>
  <c r="V39" i="74"/>
  <c r="V47" i="74"/>
  <c r="V55" i="74"/>
  <c r="V19" i="75"/>
  <c r="V23" i="75"/>
  <c r="V27" i="75"/>
  <c r="V39" i="75"/>
  <c r="V47" i="75"/>
  <c r="V55" i="75"/>
  <c r="V63" i="75"/>
  <c r="V67" i="75"/>
  <c r="V71" i="75"/>
  <c r="V75" i="75"/>
  <c r="J80" i="77"/>
  <c r="J70" i="77"/>
  <c r="J62" i="77"/>
  <c r="J48" i="77"/>
  <c r="J44" i="77"/>
  <c r="J32" i="77"/>
  <c r="J26" i="77"/>
  <c r="J79" i="77"/>
  <c r="J65" i="77"/>
  <c r="J59" i="77"/>
  <c r="J53" i="77"/>
  <c r="J43" i="77"/>
  <c r="J31" i="77"/>
  <c r="J23" i="77"/>
  <c r="J86" i="77"/>
  <c r="J82" i="77"/>
  <c r="J78" i="77"/>
  <c r="J72" i="77"/>
  <c r="J56" i="77"/>
  <c r="J50" i="77"/>
  <c r="J42" i="77"/>
  <c r="J36" i="77"/>
  <c r="J30" i="77"/>
  <c r="H23" i="77"/>
  <c r="J77" i="77"/>
  <c r="J69" i="77"/>
  <c r="J61" i="77"/>
  <c r="J47" i="77"/>
  <c r="J41" i="77"/>
  <c r="J29" i="77"/>
  <c r="J21" i="77"/>
  <c r="J90" i="77"/>
  <c r="J84" i="77"/>
  <c r="J76" i="77"/>
  <c r="J68" i="77"/>
  <c r="J64" i="77"/>
  <c r="J58" i="77"/>
  <c r="J52" i="77"/>
  <c r="J40" i="77"/>
  <c r="J28" i="77"/>
  <c r="J20" i="77"/>
  <c r="N12" i="77"/>
  <c r="J81" i="77"/>
  <c r="J75" i="77"/>
  <c r="J71" i="77"/>
  <c r="J67" i="77"/>
  <c r="J63" i="77"/>
  <c r="J55" i="77"/>
  <c r="J49" i="77"/>
  <c r="J39" i="77"/>
  <c r="J35" i="77"/>
  <c r="J27" i="77"/>
  <c r="J25" i="77"/>
  <c r="J19" i="77"/>
  <c r="J34" i="77"/>
  <c r="J38" i="77"/>
  <c r="N49" i="77"/>
  <c r="L49" i="77"/>
  <c r="J51" i="77"/>
  <c r="F54" i="77"/>
  <c r="J83" i="77"/>
  <c r="V68" i="78"/>
  <c r="V60" i="78"/>
  <c r="V56" i="78"/>
  <c r="V52" i="78"/>
  <c r="V44" i="78"/>
  <c r="V40" i="78"/>
  <c r="V36" i="78"/>
  <c r="V24" i="78"/>
  <c r="V77" i="78"/>
  <c r="V71" i="78"/>
  <c r="V67" i="78"/>
  <c r="V59" i="78"/>
  <c r="V55" i="78"/>
  <c r="V51" i="78"/>
  <c r="V43" i="78"/>
  <c r="V35" i="78"/>
  <c r="V23" i="78"/>
  <c r="V62" i="78"/>
  <c r="V58" i="78"/>
  <c r="V54" i="78"/>
  <c r="V46" i="78"/>
  <c r="V42" i="78"/>
  <c r="V34" i="78"/>
  <c r="V22" i="78"/>
  <c r="V18" i="78"/>
  <c r="V14" i="78"/>
  <c r="V61" i="78"/>
  <c r="V57" i="78"/>
  <c r="V53" i="78"/>
  <c r="V45" i="78"/>
  <c r="V33" i="78"/>
  <c r="V21" i="78"/>
  <c r="V70" i="78"/>
  <c r="V64" i="78"/>
  <c r="V48" i="78"/>
  <c r="V32" i="78"/>
  <c r="V28" i="78"/>
  <c r="V20" i="78"/>
  <c r="Z12" i="78"/>
  <c r="V80" i="78"/>
  <c r="V75" i="78"/>
  <c r="V73" i="78"/>
  <c r="V63" i="78"/>
  <c r="V47" i="78"/>
  <c r="V39" i="78"/>
  <c r="V31" i="78"/>
  <c r="V27" i="78"/>
  <c r="V19" i="78"/>
  <c r="Z18" i="78"/>
  <c r="V49" i="78"/>
  <c r="R63" i="78"/>
  <c r="L65" i="78"/>
  <c r="P28" i="79"/>
  <c r="N18" i="80"/>
  <c r="L18" i="80"/>
  <c r="L22" i="93"/>
  <c r="T21" i="74"/>
  <c r="V30" i="74"/>
  <c r="V34" i="74"/>
  <c r="V42" i="74"/>
  <c r="V50" i="74"/>
  <c r="V54" i="74"/>
  <c r="V62" i="74"/>
  <c r="V66" i="74"/>
  <c r="V70" i="74"/>
  <c r="V74" i="74"/>
  <c r="V78" i="74"/>
  <c r="V84" i="74"/>
  <c r="T21" i="75"/>
  <c r="V30" i="75"/>
  <c r="V34" i="75"/>
  <c r="V42" i="75"/>
  <c r="V46" i="75"/>
  <c r="V54" i="75"/>
  <c r="V62" i="75"/>
  <c r="V78" i="75"/>
  <c r="V82" i="75"/>
  <c r="V88" i="75"/>
  <c r="R20" i="76"/>
  <c r="V26" i="76"/>
  <c r="J18" i="77"/>
  <c r="J57" i="77"/>
  <c r="J66" i="77"/>
  <c r="Z70" i="77"/>
  <c r="N81" i="77"/>
  <c r="N19" i="78"/>
  <c r="V26" i="78"/>
  <c r="L29" i="78"/>
  <c r="N29" i="78" s="1"/>
  <c r="R30" i="78"/>
  <c r="V38" i="78"/>
  <c r="R47" i="78"/>
  <c r="L49" i="78"/>
  <c r="N51" i="78"/>
  <c r="V66" i="78"/>
  <c r="N18" i="79"/>
  <c r="N14" i="80"/>
  <c r="L14" i="80"/>
  <c r="X25" i="81"/>
  <c r="V31" i="74"/>
  <c r="V35" i="74"/>
  <c r="V43" i="74"/>
  <c r="V51" i="74"/>
  <c r="V59" i="74"/>
  <c r="V63" i="74"/>
  <c r="V67" i="74"/>
  <c r="V71" i="74"/>
  <c r="V75" i="74"/>
  <c r="V21" i="75"/>
  <c r="V31" i="75"/>
  <c r="V35" i="75"/>
  <c r="V43" i="75"/>
  <c r="V51" i="75"/>
  <c r="V59" i="75"/>
  <c r="V79" i="75"/>
  <c r="R23" i="76"/>
  <c r="F27" i="77"/>
  <c r="F39" i="77"/>
  <c r="F46" i="77"/>
  <c r="Z58" i="77"/>
  <c r="X58" i="77"/>
  <c r="N72" i="77"/>
  <c r="F75" i="77"/>
  <c r="V25" i="78"/>
  <c r="V30" i="78"/>
  <c r="V37" i="78"/>
  <c r="Z47" i="78"/>
  <c r="R80" i="78"/>
  <c r="N24" i="80"/>
  <c r="L24" i="80"/>
  <c r="Z25" i="81"/>
  <c r="V57" i="83"/>
  <c r="V54" i="83"/>
  <c r="V48" i="83"/>
  <c r="V37" i="83"/>
  <c r="V29" i="83"/>
  <c r="V25" i="83"/>
  <c r="T16" i="83"/>
  <c r="V40" i="83"/>
  <c r="V36" i="83"/>
  <c r="V28" i="83"/>
  <c r="V24" i="83"/>
  <c r="V46" i="83"/>
  <c r="V45" i="83"/>
  <c r="V39" i="83"/>
  <c r="V35" i="83"/>
  <c r="V23" i="83"/>
  <c r="V50" i="83"/>
  <c r="V42" i="83"/>
  <c r="V34" i="83"/>
  <c r="V22" i="83"/>
  <c r="V18" i="83"/>
  <c r="V14" i="83"/>
  <c r="V41" i="83"/>
  <c r="V33" i="83"/>
  <c r="V21" i="83"/>
  <c r="V32" i="83"/>
  <c r="V20" i="83"/>
  <c r="Z12" i="83"/>
  <c r="V31" i="83"/>
  <c r="V43" i="83"/>
  <c r="V52" i="83"/>
  <c r="V26" i="83"/>
  <c r="V27" i="83"/>
  <c r="V44" i="83"/>
  <c r="V16" i="83"/>
  <c r="V38" i="83"/>
  <c r="V30" i="83"/>
  <c r="X12" i="83"/>
  <c r="V32" i="74"/>
  <c r="V36" i="74"/>
  <c r="V48" i="74"/>
  <c r="V52" i="74"/>
  <c r="V60" i="74"/>
  <c r="V72" i="74"/>
  <c r="V76" i="74"/>
  <c r="V24" i="75"/>
  <c r="V32" i="75"/>
  <c r="V36" i="75"/>
  <c r="V44" i="75"/>
  <c r="V52" i="75"/>
  <c r="V60" i="75"/>
  <c r="V72" i="75"/>
  <c r="V76" i="75"/>
  <c r="V80" i="75"/>
  <c r="V30" i="76"/>
  <c r="V20" i="76"/>
  <c r="R28" i="76"/>
  <c r="R30" i="76"/>
  <c r="L25" i="77"/>
  <c r="F35" i="77"/>
  <c r="J46" i="77"/>
  <c r="F71" i="77"/>
  <c r="F74" i="77"/>
  <c r="R19" i="78"/>
  <c r="Z29" i="78"/>
  <c r="R50" i="78"/>
  <c r="V65" i="78"/>
  <c r="R75" i="78"/>
  <c r="J19" i="80"/>
  <c r="J33" i="80"/>
  <c r="J26" i="80"/>
  <c r="J16" i="80"/>
  <c r="J21" i="80"/>
  <c r="H16" i="80"/>
  <c r="J30" i="80"/>
  <c r="J24" i="80"/>
  <c r="J20" i="80"/>
  <c r="J18" i="80"/>
  <c r="J14" i="80"/>
  <c r="N12" i="80"/>
  <c r="Z19" i="80"/>
  <c r="J22" i="80"/>
  <c r="P26" i="80"/>
  <c r="V25" i="74"/>
  <c r="V37" i="74"/>
  <c r="V49" i="74"/>
  <c r="V57" i="74"/>
  <c r="V73" i="74"/>
  <c r="V17" i="75"/>
  <c r="V25" i="75"/>
  <c r="V33" i="75"/>
  <c r="V37" i="75"/>
  <c r="V49" i="75"/>
  <c r="V57" i="75"/>
  <c r="V69" i="75"/>
  <c r="V73" i="75"/>
  <c r="V77" i="75"/>
  <c r="X12" i="76"/>
  <c r="Z12" i="76" s="1"/>
  <c r="V23" i="76"/>
  <c r="R24" i="76"/>
  <c r="J45" i="77"/>
  <c r="N56" i="77"/>
  <c r="L60" i="77"/>
  <c r="N60" i="77" s="1"/>
  <c r="J74" i="77"/>
  <c r="Z19" i="78"/>
  <c r="V29" i="78"/>
  <c r="N40" i="78"/>
  <c r="V41" i="78"/>
  <c r="V50" i="78"/>
  <c r="L14" i="79"/>
  <c r="L12" i="80"/>
  <c r="J28" i="80"/>
  <c r="Z16" i="82"/>
  <c r="X16" i="82"/>
  <c r="V16" i="82"/>
  <c r="V80" i="74"/>
  <c r="V50" i="75"/>
  <c r="V58" i="75"/>
  <c r="V66" i="75"/>
  <c r="V70" i="75"/>
  <c r="V74" i="75"/>
  <c r="V84" i="75"/>
  <c r="F73" i="77"/>
  <c r="F60" i="77"/>
  <c r="F57" i="77"/>
  <c r="F45" i="77"/>
  <c r="F37" i="77"/>
  <c r="F33" i="77"/>
  <c r="F83" i="77"/>
  <c r="F80" i="77"/>
  <c r="F51" i="77"/>
  <c r="F48" i="77"/>
  <c r="F44" i="77"/>
  <c r="F32" i="77"/>
  <c r="F79" i="77"/>
  <c r="F70" i="77"/>
  <c r="F62" i="77"/>
  <c r="F59" i="77"/>
  <c r="F43" i="77"/>
  <c r="F31" i="77"/>
  <c r="F26" i="77"/>
  <c r="F18" i="77"/>
  <c r="F82" i="77"/>
  <c r="F78" i="77"/>
  <c r="F65" i="77"/>
  <c r="F53" i="77"/>
  <c r="F50" i="77"/>
  <c r="F42" i="77"/>
  <c r="F30" i="77"/>
  <c r="F23" i="77"/>
  <c r="F86" i="77"/>
  <c r="F77" i="77"/>
  <c r="F72" i="77"/>
  <c r="F69" i="77"/>
  <c r="F61" i="77"/>
  <c r="F56" i="77"/>
  <c r="F41" i="77"/>
  <c r="F36" i="77"/>
  <c r="F29" i="77"/>
  <c r="D23" i="77"/>
  <c r="F21" i="77"/>
  <c r="F90" i="77"/>
  <c r="F84" i="77"/>
  <c r="F76" i="77"/>
  <c r="F68" i="77"/>
  <c r="F64" i="77"/>
  <c r="F52" i="77"/>
  <c r="F47" i="77"/>
  <c r="F40" i="77"/>
  <c r="F28" i="77"/>
  <c r="F20" i="77"/>
  <c r="L12" i="77"/>
  <c r="P12" i="77"/>
  <c r="X16" i="77"/>
  <c r="N25" i="77"/>
  <c r="F34" i="77"/>
  <c r="F38" i="77"/>
  <c r="Z47" i="77"/>
  <c r="X47" i="77"/>
  <c r="F49" i="77"/>
  <c r="F55" i="77"/>
  <c r="J60" i="77"/>
  <c r="F67" i="77"/>
  <c r="R41" i="78"/>
  <c r="R37" i="78"/>
  <c r="R25" i="78"/>
  <c r="R16" i="78"/>
  <c r="R68" i="78"/>
  <c r="R65" i="78"/>
  <c r="R60" i="78"/>
  <c r="R56" i="78"/>
  <c r="R52" i="78"/>
  <c r="R49" i="78"/>
  <c r="R44" i="78"/>
  <c r="R36" i="78"/>
  <c r="R29" i="78"/>
  <c r="R24" i="78"/>
  <c r="P16" i="78"/>
  <c r="R71" i="78"/>
  <c r="R59" i="78"/>
  <c r="R55" i="78"/>
  <c r="R43" i="78"/>
  <c r="R40" i="78"/>
  <c r="R35" i="78"/>
  <c r="R23" i="78"/>
  <c r="R77" i="78"/>
  <c r="R67" i="78"/>
  <c r="R62" i="78"/>
  <c r="R58" i="78"/>
  <c r="R54" i="78"/>
  <c r="R51" i="78"/>
  <c r="R46" i="78"/>
  <c r="R34" i="78"/>
  <c r="R22" i="78"/>
  <c r="R42" i="78"/>
  <c r="R33" i="78"/>
  <c r="R21" i="78"/>
  <c r="R18" i="78"/>
  <c r="R14" i="78"/>
  <c r="R64" i="78"/>
  <c r="R61" i="78"/>
  <c r="R57" i="78"/>
  <c r="R53" i="78"/>
  <c r="R48" i="78"/>
  <c r="R45" i="78"/>
  <c r="R32" i="78"/>
  <c r="R28" i="78"/>
  <c r="R20" i="78"/>
  <c r="X12" i="78"/>
  <c r="Z49" i="78"/>
  <c r="X63" i="78"/>
  <c r="Z53" i="82"/>
  <c r="X53" i="82"/>
  <c r="V31" i="77"/>
  <c r="V43" i="77"/>
  <c r="V47" i="77"/>
  <c r="V59" i="77"/>
  <c r="V79" i="77"/>
  <c r="H16" i="78"/>
  <c r="F19" i="78"/>
  <c r="J23" i="78"/>
  <c r="F24" i="78"/>
  <c r="J29" i="78"/>
  <c r="J35" i="78"/>
  <c r="F36" i="78"/>
  <c r="J43" i="78"/>
  <c r="F44" i="78"/>
  <c r="F47" i="78"/>
  <c r="J49" i="78"/>
  <c r="F52" i="78"/>
  <c r="J55" i="78"/>
  <c r="F56" i="78"/>
  <c r="J59" i="78"/>
  <c r="F60" i="78"/>
  <c r="F63" i="78"/>
  <c r="J65" i="78"/>
  <c r="F68" i="78"/>
  <c r="F73" i="78"/>
  <c r="F80" i="78"/>
  <c r="R16" i="79"/>
  <c r="V24" i="79"/>
  <c r="F28" i="79"/>
  <c r="V28" i="79"/>
  <c r="V30" i="79"/>
  <c r="F35" i="79"/>
  <c r="V35" i="79"/>
  <c r="R26" i="80"/>
  <c r="R33" i="80"/>
  <c r="J76" i="81"/>
  <c r="J68" i="81"/>
  <c r="J62" i="81"/>
  <c r="J48" i="81"/>
  <c r="J44" i="81"/>
  <c r="J87" i="81"/>
  <c r="J81" i="81"/>
  <c r="J75" i="81"/>
  <c r="J59" i="81"/>
  <c r="J53" i="81"/>
  <c r="J43" i="81"/>
  <c r="J84" i="81"/>
  <c r="J72" i="81"/>
  <c r="J64" i="81"/>
  <c r="J56" i="81"/>
  <c r="J50" i="81"/>
  <c r="J42" i="81"/>
  <c r="J36" i="81"/>
  <c r="J90" i="81"/>
  <c r="J67" i="81"/>
  <c r="J61" i="81"/>
  <c r="J47" i="81"/>
  <c r="J41" i="81"/>
  <c r="J86" i="81"/>
  <c r="J80" i="81"/>
  <c r="J74" i="81"/>
  <c r="J58" i="81"/>
  <c r="J52" i="81"/>
  <c r="J40" i="81"/>
  <c r="J83" i="81"/>
  <c r="J79" i="81"/>
  <c r="J71" i="81"/>
  <c r="J63" i="81"/>
  <c r="J55" i="81"/>
  <c r="V30" i="81"/>
  <c r="V35" i="81"/>
  <c r="Z36" i="81"/>
  <c r="L49" i="81"/>
  <c r="N49" i="81" s="1"/>
  <c r="J51" i="81"/>
  <c r="X67" i="81"/>
  <c r="Z67" i="81" s="1"/>
  <c r="H50" i="83"/>
  <c r="N16" i="83"/>
  <c r="T23" i="77"/>
  <c r="V32" i="77"/>
  <c r="V36" i="77"/>
  <c r="V44" i="77"/>
  <c r="V48" i="77"/>
  <c r="V56" i="77"/>
  <c r="V72" i="77"/>
  <c r="V80" i="77"/>
  <c r="V86" i="77"/>
  <c r="J16" i="78"/>
  <c r="J24" i="78"/>
  <c r="F25" i="78"/>
  <c r="J36" i="78"/>
  <c r="F37" i="78"/>
  <c r="F41" i="78"/>
  <c r="J44" i="78"/>
  <c r="J52" i="78"/>
  <c r="J56" i="78"/>
  <c r="J60" i="78"/>
  <c r="J68" i="78"/>
  <c r="F70" i="78"/>
  <c r="D16" i="79"/>
  <c r="T16" i="79"/>
  <c r="R19" i="79"/>
  <c r="F21" i="79"/>
  <c r="V21" i="79"/>
  <c r="R22" i="79"/>
  <c r="D16" i="80"/>
  <c r="T16" i="80"/>
  <c r="X16" i="80" s="1"/>
  <c r="R19" i="80"/>
  <c r="F21" i="80"/>
  <c r="V21" i="80"/>
  <c r="R22" i="80"/>
  <c r="J19" i="81"/>
  <c r="J25" i="81"/>
  <c r="J27" i="81"/>
  <c r="V31" i="81"/>
  <c r="J38" i="81"/>
  <c r="J49" i="81"/>
  <c r="J54" i="81"/>
  <c r="Z56" i="81"/>
  <c r="J65" i="81"/>
  <c r="Z72" i="81"/>
  <c r="N74" i="81"/>
  <c r="J82" i="81"/>
  <c r="J85" i="81"/>
  <c r="Z86" i="81"/>
  <c r="X86" i="81"/>
  <c r="J89" i="81"/>
  <c r="N23" i="82"/>
  <c r="L23" i="82"/>
  <c r="X18" i="86"/>
  <c r="V23" i="77"/>
  <c r="V33" i="77"/>
  <c r="V37" i="77"/>
  <c r="V45" i="77"/>
  <c r="V53" i="77"/>
  <c r="V57" i="77"/>
  <c r="V65" i="77"/>
  <c r="V73" i="77"/>
  <c r="J19" i="78"/>
  <c r="J25" i="78"/>
  <c r="F26" i="78"/>
  <c r="F30" i="78"/>
  <c r="J37" i="78"/>
  <c r="F38" i="78"/>
  <c r="J41" i="78"/>
  <c r="F45" i="78"/>
  <c r="J47" i="78"/>
  <c r="F50" i="78"/>
  <c r="F53" i="78"/>
  <c r="F57" i="78"/>
  <c r="F61" i="78"/>
  <c r="J63" i="78"/>
  <c r="F66" i="78"/>
  <c r="J73" i="78"/>
  <c r="J80" i="78"/>
  <c r="V16" i="79"/>
  <c r="V22" i="79"/>
  <c r="R26" i="79"/>
  <c r="R32" i="79"/>
  <c r="V16" i="80"/>
  <c r="V22" i="80"/>
  <c r="V26" i="80"/>
  <c r="V28" i="80"/>
  <c r="V33" i="80"/>
  <c r="T23" i="81"/>
  <c r="J28" i="81"/>
  <c r="V32" i="81"/>
  <c r="V34" i="81"/>
  <c r="J37" i="81"/>
  <c r="V43" i="81"/>
  <c r="J46" i="81"/>
  <c r="V86" i="81"/>
  <c r="J94" i="81"/>
  <c r="N44" i="82"/>
  <c r="L44" i="82"/>
  <c r="P31" i="85"/>
  <c r="Z18" i="86"/>
  <c r="V18" i="77"/>
  <c r="V26" i="77"/>
  <c r="V34" i="77"/>
  <c r="V38" i="77"/>
  <c r="V46" i="77"/>
  <c r="V54" i="77"/>
  <c r="V62" i="77"/>
  <c r="V66" i="77"/>
  <c r="V70" i="77"/>
  <c r="V74" i="77"/>
  <c r="F14" i="78"/>
  <c r="F18" i="78"/>
  <c r="J26" i="78"/>
  <c r="F27" i="78"/>
  <c r="J30" i="78"/>
  <c r="F31" i="78"/>
  <c r="J38" i="78"/>
  <c r="F39" i="78"/>
  <c r="F42" i="78"/>
  <c r="J50" i="78"/>
  <c r="J66" i="78"/>
  <c r="J70" i="78"/>
  <c r="F75" i="78"/>
  <c r="V19" i="79"/>
  <c r="F30" i="79"/>
  <c r="X12" i="80"/>
  <c r="V19" i="80"/>
  <c r="P12" i="81"/>
  <c r="V23" i="81"/>
  <c r="J29" i="81"/>
  <c r="V42" i="81"/>
  <c r="J45" i="81"/>
  <c r="J57" i="81"/>
  <c r="Z58" i="81"/>
  <c r="X58" i="81"/>
  <c r="J70" i="81"/>
  <c r="J73" i="81"/>
  <c r="Z74" i="81"/>
  <c r="X74" i="81"/>
  <c r="J44" i="82"/>
  <c r="V19" i="77"/>
  <c r="V27" i="77"/>
  <c r="V35" i="77"/>
  <c r="V39" i="77"/>
  <c r="V51" i="77"/>
  <c r="V55" i="77"/>
  <c r="V63" i="77"/>
  <c r="V67" i="77"/>
  <c r="V71" i="77"/>
  <c r="V75" i="77"/>
  <c r="V83" i="77"/>
  <c r="L12" i="78"/>
  <c r="X14" i="78"/>
  <c r="F20" i="78"/>
  <c r="J27" i="78"/>
  <c r="F28" i="78"/>
  <c r="J31" i="78"/>
  <c r="F32" i="78"/>
  <c r="J39" i="78"/>
  <c r="J45" i="78"/>
  <c r="F48" i="78"/>
  <c r="F51" i="78"/>
  <c r="J53" i="78"/>
  <c r="J57" i="78"/>
  <c r="J61" i="78"/>
  <c r="F64" i="78"/>
  <c r="F67" i="78"/>
  <c r="L70" i="78"/>
  <c r="J75" i="78"/>
  <c r="F77" i="78"/>
  <c r="Z12" i="79"/>
  <c r="X19" i="79"/>
  <c r="Z19" i="79" s="1"/>
  <c r="V20" i="79"/>
  <c r="L21" i="79"/>
  <c r="F26" i="79"/>
  <c r="V26" i="79"/>
  <c r="F32" i="79"/>
  <c r="Z12" i="80"/>
  <c r="X19" i="80"/>
  <c r="L21" i="80"/>
  <c r="V80" i="81"/>
  <c r="V60" i="81"/>
  <c r="V52" i="81"/>
  <c r="V40" i="81"/>
  <c r="V89" i="81"/>
  <c r="V83" i="81"/>
  <c r="V79" i="81"/>
  <c r="V71" i="81"/>
  <c r="V63" i="81"/>
  <c r="V55" i="81"/>
  <c r="V51" i="81"/>
  <c r="V39" i="81"/>
  <c r="V94" i="81"/>
  <c r="V82" i="81"/>
  <c r="V78" i="81"/>
  <c r="V70" i="81"/>
  <c r="V66" i="81"/>
  <c r="V62" i="81"/>
  <c r="V54" i="81"/>
  <c r="V46" i="81"/>
  <c r="V38" i="81"/>
  <c r="V85" i="81"/>
  <c r="V81" i="81"/>
  <c r="V77" i="81"/>
  <c r="V73" i="81"/>
  <c r="V69" i="81"/>
  <c r="V65" i="81"/>
  <c r="V57" i="81"/>
  <c r="V53" i="81"/>
  <c r="V45" i="81"/>
  <c r="V37" i="81"/>
  <c r="V33" i="81"/>
  <c r="V84" i="81"/>
  <c r="V76" i="81"/>
  <c r="V72" i="81"/>
  <c r="V68" i="81"/>
  <c r="V64" i="81"/>
  <c r="V56" i="81"/>
  <c r="V48" i="81"/>
  <c r="V44" i="81"/>
  <c r="V36" i="81"/>
  <c r="V87" i="81"/>
  <c r="V75" i="81"/>
  <c r="V67" i="81"/>
  <c r="V59" i="81"/>
  <c r="V18" i="81"/>
  <c r="H23" i="81"/>
  <c r="V26" i="81"/>
  <c r="J30" i="81"/>
  <c r="V41" i="81"/>
  <c r="V49" i="81"/>
  <c r="V58" i="81"/>
  <c r="L60" i="81"/>
  <c r="N60" i="81" s="1"/>
  <c r="V61" i="81"/>
  <c r="Z62" i="81"/>
  <c r="N64" i="81"/>
  <c r="V74" i="81"/>
  <c r="J78" i="81"/>
  <c r="N84" i="81"/>
  <c r="V90" i="81"/>
  <c r="N53" i="82"/>
  <c r="N79" i="82"/>
  <c r="L79" i="82"/>
  <c r="V28" i="77"/>
  <c r="V40" i="77"/>
  <c r="V52" i="77"/>
  <c r="V60" i="77"/>
  <c r="V64" i="77"/>
  <c r="V68" i="77"/>
  <c r="V76" i="77"/>
  <c r="V84" i="77"/>
  <c r="V90" i="77"/>
  <c r="N12" i="78"/>
  <c r="J14" i="78"/>
  <c r="J18" i="78"/>
  <c r="J20" i="78"/>
  <c r="F21" i="78"/>
  <c r="J28" i="78"/>
  <c r="J32" i="78"/>
  <c r="F33" i="78"/>
  <c r="J42" i="78"/>
  <c r="J48" i="78"/>
  <c r="F22" i="80"/>
  <c r="V19" i="81"/>
  <c r="J23" i="81"/>
  <c r="V27" i="81"/>
  <c r="J31" i="81"/>
  <c r="N36" i="81"/>
  <c r="Z47" i="81"/>
  <c r="X47" i="81"/>
  <c r="J60" i="81"/>
  <c r="N67" i="81"/>
  <c r="N16" i="82"/>
  <c r="H86" i="82"/>
  <c r="Z22" i="82"/>
  <c r="Z19" i="83"/>
  <c r="X19" i="83"/>
  <c r="F79" i="82"/>
  <c r="F68" i="82"/>
  <c r="F55" i="82"/>
  <c r="F52" i="82"/>
  <c r="F93" i="82"/>
  <c r="F86" i="82"/>
  <c r="F75" i="82"/>
  <c r="F46" i="82"/>
  <c r="F43" i="82"/>
  <c r="F81" i="82"/>
  <c r="F78" i="82"/>
  <c r="F74" i="82"/>
  <c r="F77" i="82"/>
  <c r="F73" i="82"/>
  <c r="F60" i="82"/>
  <c r="F80" i="82"/>
  <c r="F72" i="82"/>
  <c r="F67" i="82"/>
  <c r="F64" i="82"/>
  <c r="F90" i="82"/>
  <c r="F84" i="82"/>
  <c r="F71" i="82"/>
  <c r="F63" i="82"/>
  <c r="F59" i="82"/>
  <c r="J23" i="82"/>
  <c r="J29" i="82"/>
  <c r="F30" i="82"/>
  <c r="F34" i="82"/>
  <c r="V37" i="82"/>
  <c r="V40" i="82"/>
  <c r="V43" i="82"/>
  <c r="F45" i="82"/>
  <c r="Z48" i="82"/>
  <c r="J51" i="82"/>
  <c r="J52" i="82"/>
  <c r="F53" i="82"/>
  <c r="F58" i="82"/>
  <c r="V61" i="82"/>
  <c r="V64" i="82"/>
  <c r="V80" i="82"/>
  <c r="Z81" i="82"/>
  <c r="J81" i="82"/>
  <c r="J75" i="82"/>
  <c r="J65" i="82"/>
  <c r="J57" i="82"/>
  <c r="J43" i="82"/>
  <c r="J78" i="82"/>
  <c r="J74" i="82"/>
  <c r="J60" i="82"/>
  <c r="J54" i="82"/>
  <c r="J48" i="82"/>
  <c r="J42" i="82"/>
  <c r="J77" i="82"/>
  <c r="J73" i="82"/>
  <c r="J67" i="82"/>
  <c r="J84" i="82"/>
  <c r="J80" i="82"/>
  <c r="J72" i="82"/>
  <c r="J64" i="82"/>
  <c r="J71" i="82"/>
  <c r="J63" i="82"/>
  <c r="J88" i="82"/>
  <c r="J82" i="82"/>
  <c r="J76" i="82"/>
  <c r="J70" i="82"/>
  <c r="J66" i="82"/>
  <c r="J62" i="82"/>
  <c r="J58" i="82"/>
  <c r="J16" i="82"/>
  <c r="F22" i="82"/>
  <c r="V22" i="82"/>
  <c r="J30" i="82"/>
  <c r="F31" i="82"/>
  <c r="J34" i="82"/>
  <c r="F35" i="82"/>
  <c r="V38" i="82"/>
  <c r="V39" i="82"/>
  <c r="V41" i="82"/>
  <c r="V42" i="82"/>
  <c r="J45" i="82"/>
  <c r="V48" i="82"/>
  <c r="V49" i="82"/>
  <c r="Z60" i="82"/>
  <c r="Z65" i="82"/>
  <c r="L12" i="82"/>
  <c r="N12" i="82" s="1"/>
  <c r="F24" i="82"/>
  <c r="V27" i="82"/>
  <c r="J31" i="82"/>
  <c r="F32" i="82"/>
  <c r="J35" i="82"/>
  <c r="F36" i="82"/>
  <c r="J53" i="82"/>
  <c r="V56" i="82"/>
  <c r="V65" i="82"/>
  <c r="N67" i="82"/>
  <c r="F70" i="82"/>
  <c r="F82" i="82"/>
  <c r="Z84" i="82"/>
  <c r="X84" i="82"/>
  <c r="D31" i="85"/>
  <c r="D89" i="81"/>
  <c r="L89" i="81" s="1"/>
  <c r="F17" i="82"/>
  <c r="J22" i="82"/>
  <c r="J24" i="82"/>
  <c r="F25" i="82"/>
  <c r="V28" i="82"/>
  <c r="J32" i="82"/>
  <c r="J36" i="82"/>
  <c r="F37" i="82"/>
  <c r="J46" i="82"/>
  <c r="F47" i="82"/>
  <c r="F48" i="82"/>
  <c r="F54" i="82"/>
  <c r="F62" i="82"/>
  <c r="F69" i="82"/>
  <c r="F76" i="82"/>
  <c r="J86" i="82"/>
  <c r="P16" i="83"/>
  <c r="X14" i="83"/>
  <c r="Z43" i="83"/>
  <c r="X43" i="83"/>
  <c r="P16" i="84"/>
  <c r="X14" i="84"/>
  <c r="P12" i="82"/>
  <c r="J17" i="82"/>
  <c r="F18" i="82"/>
  <c r="D20" i="82"/>
  <c r="T20" i="82"/>
  <c r="J25" i="82"/>
  <c r="F26" i="82"/>
  <c r="V29" i="82"/>
  <c r="F33" i="82"/>
  <c r="V33" i="82"/>
  <c r="J37" i="82"/>
  <c r="F38" i="82"/>
  <c r="F41" i="82"/>
  <c r="V44" i="82"/>
  <c r="J47" i="82"/>
  <c r="F49" i="82"/>
  <c r="V51" i="82"/>
  <c r="V52" i="82"/>
  <c r="F61" i="82"/>
  <c r="F65" i="82"/>
  <c r="F66" i="82"/>
  <c r="J69" i="82"/>
  <c r="L76" i="82"/>
  <c r="N76" i="82" s="1"/>
  <c r="R68" i="87"/>
  <c r="V79" i="82"/>
  <c r="V71" i="82"/>
  <c r="V63" i="82"/>
  <c r="V59" i="82"/>
  <c r="V55" i="82"/>
  <c r="V47" i="82"/>
  <c r="V88" i="82"/>
  <c r="V82" i="82"/>
  <c r="V70" i="82"/>
  <c r="V66" i="82"/>
  <c r="V62" i="82"/>
  <c r="V58" i="82"/>
  <c r="V50" i="82"/>
  <c r="V46" i="82"/>
  <c r="V81" i="82"/>
  <c r="V69" i="82"/>
  <c r="V68" i="82"/>
  <c r="V60" i="82"/>
  <c r="V75" i="82"/>
  <c r="V67" i="82"/>
  <c r="V84" i="82"/>
  <c r="V78" i="82"/>
  <c r="V74" i="82"/>
  <c r="J18" i="82"/>
  <c r="F20" i="82"/>
  <c r="V20" i="82"/>
  <c r="J26" i="82"/>
  <c r="F27" i="82"/>
  <c r="V30" i="82"/>
  <c r="V34" i="82"/>
  <c r="J38" i="82"/>
  <c r="F39" i="82"/>
  <c r="F40" i="82"/>
  <c r="J41" i="82"/>
  <c r="F42" i="82"/>
  <c r="F44" i="82"/>
  <c r="V45" i="82"/>
  <c r="J49" i="82"/>
  <c r="F50" i="82"/>
  <c r="L51" i="82"/>
  <c r="N51" i="82" s="1"/>
  <c r="J55" i="82"/>
  <c r="Z57" i="82"/>
  <c r="L60" i="82"/>
  <c r="N60" i="82" s="1"/>
  <c r="J61" i="82"/>
  <c r="V77" i="82"/>
  <c r="X42" i="86"/>
  <c r="Z42" i="86" s="1"/>
  <c r="J16" i="83"/>
  <c r="J24" i="83"/>
  <c r="F25" i="83"/>
  <c r="F29" i="83"/>
  <c r="R33" i="83"/>
  <c r="J36" i="83"/>
  <c r="J40" i="83"/>
  <c r="N44" i="86"/>
  <c r="L44" i="86"/>
  <c r="Z50" i="86"/>
  <c r="N25" i="87"/>
  <c r="F57" i="83"/>
  <c r="F54" i="83"/>
  <c r="J19" i="83"/>
  <c r="J25" i="83"/>
  <c r="F26" i="83"/>
  <c r="J29" i="83"/>
  <c r="F30" i="83"/>
  <c r="R34" i="83"/>
  <c r="J37" i="83"/>
  <c r="F38" i="83"/>
  <c r="R39" i="83"/>
  <c r="F41" i="83"/>
  <c r="R42" i="83"/>
  <c r="R45" i="83"/>
  <c r="V21" i="84"/>
  <c r="T16" i="84"/>
  <c r="V30" i="84"/>
  <c r="V24" i="84"/>
  <c r="V18" i="84"/>
  <c r="V14" i="84"/>
  <c r="V20" i="84"/>
  <c r="Z12" i="84"/>
  <c r="H26" i="84"/>
  <c r="Z22" i="85"/>
  <c r="X22" i="85"/>
  <c r="F61" i="86"/>
  <c r="F80" i="87"/>
  <c r="F69" i="87"/>
  <c r="F65" i="87"/>
  <c r="F60" i="87"/>
  <c r="F57" i="87"/>
  <c r="F52" i="87"/>
  <c r="F49" i="87"/>
  <c r="F45" i="87"/>
  <c r="F33" i="87"/>
  <c r="F44" i="87"/>
  <c r="F79" i="87"/>
  <c r="F62" i="87"/>
  <c r="F59" i="87"/>
  <c r="F54" i="87"/>
  <c r="F51" i="87"/>
  <c r="F43" i="87"/>
  <c r="F83" i="87"/>
  <c r="F78" i="87"/>
  <c r="F73" i="87"/>
  <c r="F42" i="87"/>
  <c r="F37" i="87"/>
  <c r="F87" i="87"/>
  <c r="F81" i="87"/>
  <c r="F77" i="87"/>
  <c r="F68" i="87"/>
  <c r="F64" i="87"/>
  <c r="F61" i="87"/>
  <c r="F56" i="87"/>
  <c r="F53" i="87"/>
  <c r="F48" i="87"/>
  <c r="F41" i="87"/>
  <c r="F76" i="87"/>
  <c r="F72" i="87"/>
  <c r="F40" i="87"/>
  <c r="F36" i="87"/>
  <c r="F38" i="87"/>
  <c r="F74" i="87"/>
  <c r="F71" i="87"/>
  <c r="F55" i="87"/>
  <c r="F50" i="87"/>
  <c r="F39" i="87"/>
  <c r="F26" i="87"/>
  <c r="F18" i="87"/>
  <c r="F75" i="87"/>
  <c r="F46" i="87"/>
  <c r="D23" i="87"/>
  <c r="F23" i="87" s="1"/>
  <c r="F21" i="87"/>
  <c r="F47" i="87"/>
  <c r="F20" i="87"/>
  <c r="L12" i="87"/>
  <c r="F66" i="87"/>
  <c r="F34" i="87"/>
  <c r="F32" i="87"/>
  <c r="F19" i="87"/>
  <c r="X25" i="87"/>
  <c r="F63" i="87"/>
  <c r="J45" i="83"/>
  <c r="J54" i="83"/>
  <c r="J48" i="83"/>
  <c r="J52" i="83"/>
  <c r="F14" i="83"/>
  <c r="F18" i="83"/>
  <c r="J26" i="83"/>
  <c r="F27" i="83"/>
  <c r="J30" i="83"/>
  <c r="F31" i="83"/>
  <c r="R35" i="83"/>
  <c r="J38" i="83"/>
  <c r="R46" i="83"/>
  <c r="X12" i="84"/>
  <c r="V26" i="84"/>
  <c r="N19" i="85"/>
  <c r="N40" i="86"/>
  <c r="Z25" i="87"/>
  <c r="R64" i="87"/>
  <c r="F20" i="83"/>
  <c r="J27" i="83"/>
  <c r="J31" i="83"/>
  <c r="F32" i="83"/>
  <c r="F39" i="83"/>
  <c r="J41" i="83"/>
  <c r="F44" i="83"/>
  <c r="R48" i="83"/>
  <c r="P61" i="86"/>
  <c r="V25" i="87"/>
  <c r="F28" i="87"/>
  <c r="F30" i="87"/>
  <c r="F35" i="87"/>
  <c r="N12" i="83"/>
  <c r="J14" i="83"/>
  <c r="R16" i="83"/>
  <c r="J18" i="83"/>
  <c r="J20" i="83"/>
  <c r="F21" i="83"/>
  <c r="R25" i="83"/>
  <c r="F28" i="83"/>
  <c r="R29" i="83"/>
  <c r="J32" i="83"/>
  <c r="F33" i="83"/>
  <c r="R37" i="83"/>
  <c r="J44" i="83"/>
  <c r="F45" i="83"/>
  <c r="F52" i="83"/>
  <c r="Z19" i="84"/>
  <c r="R15" i="85"/>
  <c r="R31" i="85"/>
  <c r="R25" i="85"/>
  <c r="R19" i="85"/>
  <c r="R21" i="85"/>
  <c r="R14" i="85"/>
  <c r="X12" i="85"/>
  <c r="R29" i="85"/>
  <c r="R23" i="85"/>
  <c r="R20" i="85"/>
  <c r="F59" i="86"/>
  <c r="F53" i="86"/>
  <c r="F44" i="86"/>
  <c r="F41" i="86"/>
  <c r="F37" i="86"/>
  <c r="F25" i="86"/>
  <c r="F47" i="86"/>
  <c r="F36" i="86"/>
  <c r="F24" i="86"/>
  <c r="F19" i="86"/>
  <c r="F50" i="86"/>
  <c r="F43" i="86"/>
  <c r="F35" i="86"/>
  <c r="F23" i="86"/>
  <c r="F16" i="86"/>
  <c r="F64" i="86"/>
  <c r="F57" i="86"/>
  <c r="F46" i="86"/>
  <c r="F34" i="86"/>
  <c r="F29" i="86"/>
  <c r="F22" i="86"/>
  <c r="D16" i="86"/>
  <c r="F52" i="86"/>
  <c r="F49" i="86"/>
  <c r="F45" i="86"/>
  <c r="F40" i="86"/>
  <c r="F33" i="86"/>
  <c r="F21" i="86"/>
  <c r="F48" i="86"/>
  <c r="F32" i="86"/>
  <c r="F28" i="86"/>
  <c r="F20" i="86"/>
  <c r="L12" i="86"/>
  <c r="F18" i="86"/>
  <c r="J19" i="86"/>
  <c r="F31" i="86"/>
  <c r="F38" i="86"/>
  <c r="F42" i="86"/>
  <c r="J47" i="86"/>
  <c r="N55" i="86"/>
  <c r="L55" i="86"/>
  <c r="F27" i="87"/>
  <c r="X50" i="87"/>
  <c r="R44" i="83"/>
  <c r="R52" i="83"/>
  <c r="R57" i="83"/>
  <c r="R50" i="83"/>
  <c r="D16" i="83"/>
  <c r="R19" i="83"/>
  <c r="J21" i="83"/>
  <c r="F22" i="83"/>
  <c r="R26" i="83"/>
  <c r="R30" i="83"/>
  <c r="J33" i="83"/>
  <c r="F34" i="83"/>
  <c r="R38" i="83"/>
  <c r="J39" i="83"/>
  <c r="F42" i="83"/>
  <c r="R43" i="83"/>
  <c r="X48" i="83"/>
  <c r="F21" i="84"/>
  <c r="D16" i="84"/>
  <c r="F20" i="84"/>
  <c r="L12" i="84"/>
  <c r="F30" i="84"/>
  <c r="F24" i="84"/>
  <c r="F18" i="84"/>
  <c r="F14" i="84"/>
  <c r="F28" i="84"/>
  <c r="F22" i="84"/>
  <c r="V19" i="84"/>
  <c r="L21" i="84"/>
  <c r="V33" i="84"/>
  <c r="J50" i="86"/>
  <c r="J36" i="86"/>
  <c r="J24" i="86"/>
  <c r="J16" i="86"/>
  <c r="J64" i="86"/>
  <c r="J57" i="86"/>
  <c r="J43" i="86"/>
  <c r="J35" i="86"/>
  <c r="J29" i="86"/>
  <c r="J23" i="86"/>
  <c r="H16" i="86"/>
  <c r="J52" i="86"/>
  <c r="J46" i="86"/>
  <c r="J40" i="86"/>
  <c r="J34" i="86"/>
  <c r="J22" i="86"/>
  <c r="J49" i="86"/>
  <c r="J45" i="86"/>
  <c r="J33" i="86"/>
  <c r="J21" i="86"/>
  <c r="J48" i="86"/>
  <c r="J42" i="86"/>
  <c r="J32" i="86"/>
  <c r="J28" i="86"/>
  <c r="J20" i="86"/>
  <c r="J18" i="86"/>
  <c r="J14" i="86"/>
  <c r="N12" i="86"/>
  <c r="J61" i="86"/>
  <c r="J55" i="86"/>
  <c r="J51" i="86"/>
  <c r="J39" i="86"/>
  <c r="J31" i="86"/>
  <c r="J27" i="86"/>
  <c r="Z14" i="86"/>
  <c r="X14" i="86"/>
  <c r="N18" i="86"/>
  <c r="F27" i="86"/>
  <c r="F30" i="86"/>
  <c r="J38" i="86"/>
  <c r="Z40" i="86"/>
  <c r="N42" i="86"/>
  <c r="J53" i="86"/>
  <c r="Z50" i="87"/>
  <c r="F58" i="87"/>
  <c r="F70" i="87"/>
  <c r="R80" i="88"/>
  <c r="R69" i="88"/>
  <c r="R86" i="88"/>
  <c r="R82" i="88"/>
  <c r="R78" i="88"/>
  <c r="R46" i="88"/>
  <c r="R38" i="88"/>
  <c r="R34" i="88"/>
  <c r="R77" i="88"/>
  <c r="R73" i="88"/>
  <c r="R65" i="88"/>
  <c r="R62" i="88"/>
  <c r="R57" i="88"/>
  <c r="R54" i="88"/>
  <c r="R49" i="88"/>
  <c r="R45" i="88"/>
  <c r="R33" i="88"/>
  <c r="R26" i="88"/>
  <c r="R18" i="88"/>
  <c r="R90" i="88"/>
  <c r="R84" i="88"/>
  <c r="R81" i="88"/>
  <c r="R76" i="88"/>
  <c r="R72" i="88"/>
  <c r="R68" i="88"/>
  <c r="R44" i="88"/>
  <c r="R37" i="88"/>
  <c r="R32" i="88"/>
  <c r="R75" i="88"/>
  <c r="R71" i="88"/>
  <c r="R67" i="88"/>
  <c r="R64" i="88"/>
  <c r="R59" i="88"/>
  <c r="R56" i="88"/>
  <c r="R51" i="88"/>
  <c r="R48" i="88"/>
  <c r="R83" i="88"/>
  <c r="R50" i="88"/>
  <c r="R43" i="88"/>
  <c r="R42" i="88"/>
  <c r="R28" i="88"/>
  <c r="R60" i="88"/>
  <c r="R29" i="88"/>
  <c r="R79" i="88"/>
  <c r="R63" i="88"/>
  <c r="R31" i="88"/>
  <c r="R30" i="88"/>
  <c r="R61" i="88"/>
  <c r="R52" i="88"/>
  <c r="R25" i="88"/>
  <c r="R70" i="88"/>
  <c r="R66" i="88"/>
  <c r="R55" i="88"/>
  <c r="X12" i="88"/>
  <c r="Z12" i="88" s="1"/>
  <c r="R74" i="88"/>
  <c r="R53" i="88"/>
  <c r="R39" i="88"/>
  <c r="R23" i="88"/>
  <c r="R41" i="88"/>
  <c r="R20" i="88"/>
  <c r="R47" i="88"/>
  <c r="R21" i="88"/>
  <c r="R35" i="88"/>
  <c r="R27" i="88"/>
  <c r="P23" i="88"/>
  <c r="R40" i="88"/>
  <c r="R36" i="88"/>
  <c r="R24" i="84"/>
  <c r="J26" i="84"/>
  <c r="R30" i="84"/>
  <c r="J33" i="84"/>
  <c r="T17" i="85"/>
  <c r="X17" i="85" s="1"/>
  <c r="F22" i="85"/>
  <c r="V22" i="85"/>
  <c r="V23" i="86"/>
  <c r="R24" i="86"/>
  <c r="R29" i="86"/>
  <c r="V35" i="86"/>
  <c r="R36" i="86"/>
  <c r="V43" i="86"/>
  <c r="R57" i="86"/>
  <c r="R64" i="86"/>
  <c r="J62" i="87"/>
  <c r="J54" i="87"/>
  <c r="J44" i="87"/>
  <c r="J32" i="87"/>
  <c r="J26" i="87"/>
  <c r="J83" i="87"/>
  <c r="J79" i="87"/>
  <c r="J73" i="87"/>
  <c r="J59" i="87"/>
  <c r="J51" i="87"/>
  <c r="J43" i="87"/>
  <c r="J78" i="87"/>
  <c r="J68" i="87"/>
  <c r="J64" i="87"/>
  <c r="J56" i="87"/>
  <c r="J48" i="87"/>
  <c r="J42" i="87"/>
  <c r="J87" i="87"/>
  <c r="J81" i="87"/>
  <c r="J77" i="87"/>
  <c r="J61" i="87"/>
  <c r="J53" i="87"/>
  <c r="J41" i="87"/>
  <c r="J76" i="87"/>
  <c r="J72" i="87"/>
  <c r="J58" i="87"/>
  <c r="J50" i="87"/>
  <c r="J40" i="87"/>
  <c r="J75" i="87"/>
  <c r="J71" i="87"/>
  <c r="J67" i="87"/>
  <c r="J63" i="87"/>
  <c r="J55" i="87"/>
  <c r="J47" i="87"/>
  <c r="J39" i="87"/>
  <c r="P23" i="87"/>
  <c r="J28" i="87"/>
  <c r="J29" i="87"/>
  <c r="J30" i="87"/>
  <c r="J31" i="87"/>
  <c r="J33" i="87"/>
  <c r="J35" i="87"/>
  <c r="V41" i="87"/>
  <c r="V50" i="87"/>
  <c r="N52" i="87"/>
  <c r="X58" i="87"/>
  <c r="Z58" i="87" s="1"/>
  <c r="R79" i="87"/>
  <c r="V87" i="87"/>
  <c r="J19" i="84"/>
  <c r="J15" i="85"/>
  <c r="F17" i="85"/>
  <c r="V17" i="85"/>
  <c r="V23" i="85"/>
  <c r="F27" i="85"/>
  <c r="V27" i="85"/>
  <c r="V29" i="85"/>
  <c r="F34" i="85"/>
  <c r="V34" i="85"/>
  <c r="V24" i="86"/>
  <c r="R25" i="86"/>
  <c r="V36" i="86"/>
  <c r="R37" i="86"/>
  <c r="V40" i="86"/>
  <c r="R41" i="86"/>
  <c r="R50" i="86"/>
  <c r="V52" i="86"/>
  <c r="R53" i="86"/>
  <c r="R59" i="86"/>
  <c r="J19" i="87"/>
  <c r="R23" i="87"/>
  <c r="J25" i="87"/>
  <c r="R26" i="87"/>
  <c r="J34" i="87"/>
  <c r="R36" i="87"/>
  <c r="J52" i="87"/>
  <c r="V53" i="87"/>
  <c r="J57" i="87"/>
  <c r="J66" i="87"/>
  <c r="R78" i="87"/>
  <c r="N26" i="88"/>
  <c r="N17" i="89"/>
  <c r="J17" i="89"/>
  <c r="J22" i="84"/>
  <c r="J28" i="84"/>
  <c r="Z12" i="85"/>
  <c r="H17" i="85"/>
  <c r="F20" i="85"/>
  <c r="V20" i="85"/>
  <c r="J22" i="85"/>
  <c r="T16" i="86"/>
  <c r="X16" i="86" s="1"/>
  <c r="R19" i="86"/>
  <c r="V25" i="86"/>
  <c r="R26" i="86"/>
  <c r="V29" i="86"/>
  <c r="R30" i="86"/>
  <c r="V37" i="86"/>
  <c r="R38" i="86"/>
  <c r="V41" i="86"/>
  <c r="R47" i="86"/>
  <c r="V53" i="86"/>
  <c r="V57" i="86"/>
  <c r="V59" i="86"/>
  <c r="V64" i="86"/>
  <c r="N12" i="87"/>
  <c r="R18" i="87"/>
  <c r="J20" i="87"/>
  <c r="T23" i="87"/>
  <c r="Z26" i="87"/>
  <c r="R27" i="87"/>
  <c r="V35" i="87"/>
  <c r="V58" i="87"/>
  <c r="N60" i="87"/>
  <c r="J65" i="87"/>
  <c r="J69" i="87"/>
  <c r="Z73" i="87"/>
  <c r="V78" i="87"/>
  <c r="R21" i="84"/>
  <c r="J17" i="85"/>
  <c r="V21" i="85"/>
  <c r="J27" i="85"/>
  <c r="J34" i="85"/>
  <c r="V16" i="86"/>
  <c r="V26" i="86"/>
  <c r="R27" i="86"/>
  <c r="V30" i="86"/>
  <c r="R31" i="86"/>
  <c r="V38" i="86"/>
  <c r="R39" i="86"/>
  <c r="R44" i="86"/>
  <c r="V50" i="86"/>
  <c r="R51" i="86"/>
  <c r="R87" i="87"/>
  <c r="R81" i="87"/>
  <c r="R77" i="87"/>
  <c r="R61" i="87"/>
  <c r="R58" i="87"/>
  <c r="R53" i="87"/>
  <c r="R50" i="87"/>
  <c r="R41" i="87"/>
  <c r="R29" i="87"/>
  <c r="R76" i="87"/>
  <c r="R72" i="87"/>
  <c r="R40" i="87"/>
  <c r="R80" i="87"/>
  <c r="R75" i="87"/>
  <c r="R71" i="87"/>
  <c r="R67" i="87"/>
  <c r="R63" i="87"/>
  <c r="R60" i="87"/>
  <c r="R55" i="87"/>
  <c r="R52" i="87"/>
  <c r="R47" i="87"/>
  <c r="R39" i="87"/>
  <c r="R35" i="87"/>
  <c r="R74" i="87"/>
  <c r="R70" i="87"/>
  <c r="R66" i="87"/>
  <c r="R46" i="87"/>
  <c r="R38" i="87"/>
  <c r="R69" i="87"/>
  <c r="R65" i="87"/>
  <c r="R62" i="87"/>
  <c r="R57" i="87"/>
  <c r="R54" i="87"/>
  <c r="R49" i="87"/>
  <c r="R45" i="87"/>
  <c r="R83" i="87"/>
  <c r="R73" i="87"/>
  <c r="R44" i="87"/>
  <c r="R37" i="87"/>
  <c r="J21" i="87"/>
  <c r="V26" i="87"/>
  <c r="V27" i="87"/>
  <c r="R28" i="87"/>
  <c r="V29" i="87"/>
  <c r="V30" i="87"/>
  <c r="R31" i="87"/>
  <c r="R32" i="87"/>
  <c r="R33" i="87"/>
  <c r="J46" i="87"/>
  <c r="R48" i="87"/>
  <c r="J60" i="87"/>
  <c r="H92" i="88"/>
  <c r="J24" i="84"/>
  <c r="R26" i="84"/>
  <c r="R33" i="84"/>
  <c r="J20" i="85"/>
  <c r="F23" i="85"/>
  <c r="F29" i="85"/>
  <c r="V19" i="86"/>
  <c r="R20" i="86"/>
  <c r="V27" i="86"/>
  <c r="R28" i="86"/>
  <c r="V31" i="86"/>
  <c r="R32" i="86"/>
  <c r="V39" i="86"/>
  <c r="V47" i="86"/>
  <c r="R48" i="86"/>
  <c r="V51" i="86"/>
  <c r="R55" i="86"/>
  <c r="R61" i="86"/>
  <c r="V80" i="87"/>
  <c r="V76" i="87"/>
  <c r="V72" i="87"/>
  <c r="V60" i="87"/>
  <c r="V52" i="87"/>
  <c r="V40" i="87"/>
  <c r="V36" i="87"/>
  <c r="V28" i="87"/>
  <c r="V75" i="87"/>
  <c r="V71" i="87"/>
  <c r="V67" i="87"/>
  <c r="V63" i="87"/>
  <c r="V55" i="87"/>
  <c r="V47" i="87"/>
  <c r="V39" i="87"/>
  <c r="V74" i="87"/>
  <c r="V70" i="87"/>
  <c r="V66" i="87"/>
  <c r="V62" i="87"/>
  <c r="V54" i="87"/>
  <c r="V46" i="87"/>
  <c r="V38" i="87"/>
  <c r="V34" i="87"/>
  <c r="V83" i="87"/>
  <c r="V73" i="87"/>
  <c r="V69" i="87"/>
  <c r="V65" i="87"/>
  <c r="V57" i="87"/>
  <c r="V49" i="87"/>
  <c r="V45" i="87"/>
  <c r="V37" i="87"/>
  <c r="V68" i="87"/>
  <c r="V64" i="87"/>
  <c r="V56" i="87"/>
  <c r="V48" i="87"/>
  <c r="V44" i="87"/>
  <c r="V79" i="87"/>
  <c r="V59" i="87"/>
  <c r="V51" i="87"/>
  <c r="V43" i="87"/>
  <c r="V18" i="87"/>
  <c r="R19" i="87"/>
  <c r="H23" i="87"/>
  <c r="V31" i="87"/>
  <c r="V32" i="87"/>
  <c r="V33" i="87"/>
  <c r="R34" i="87"/>
  <c r="R43" i="87"/>
  <c r="R51" i="87"/>
  <c r="N80" i="87"/>
  <c r="V81" i="87"/>
  <c r="J25" i="88"/>
  <c r="R19" i="84"/>
  <c r="R22" i="84"/>
  <c r="L12" i="85"/>
  <c r="V15" i="85"/>
  <c r="F19" i="85"/>
  <c r="V19" i="85"/>
  <c r="J23" i="85"/>
  <c r="F25" i="85"/>
  <c r="V25" i="85"/>
  <c r="Z12" i="86"/>
  <c r="R14" i="86"/>
  <c r="R18" i="86"/>
  <c r="V20" i="86"/>
  <c r="R21" i="86"/>
  <c r="V28" i="86"/>
  <c r="V32" i="86"/>
  <c r="R33" i="86"/>
  <c r="R42" i="86"/>
  <c r="V44" i="86"/>
  <c r="R45" i="86"/>
  <c r="X12" i="87"/>
  <c r="Z12" i="87" s="1"/>
  <c r="V19" i="87"/>
  <c r="R20" i="87"/>
  <c r="R25" i="87"/>
  <c r="R42" i="87"/>
  <c r="J45" i="87"/>
  <c r="N50" i="87"/>
  <c r="J74" i="87"/>
  <c r="V77" i="87"/>
  <c r="J80" i="87"/>
  <c r="F18" i="88"/>
  <c r="N73" i="89"/>
  <c r="V79" i="88"/>
  <c r="V63" i="88"/>
  <c r="V55" i="88"/>
  <c r="V47" i="88"/>
  <c r="V82" i="88"/>
  <c r="V81" i="88"/>
  <c r="V77" i="88"/>
  <c r="V73" i="88"/>
  <c r="V65" i="88"/>
  <c r="V57" i="88"/>
  <c r="V49" i="88"/>
  <c r="V45" i="88"/>
  <c r="V37" i="88"/>
  <c r="V33" i="88"/>
  <c r="V90" i="88"/>
  <c r="V84" i="88"/>
  <c r="V76" i="88"/>
  <c r="V72" i="88"/>
  <c r="V68" i="88"/>
  <c r="V64" i="88"/>
  <c r="V56" i="88"/>
  <c r="V48" i="88"/>
  <c r="V44" i="88"/>
  <c r="V32" i="88"/>
  <c r="T23" i="88"/>
  <c r="V83" i="88"/>
  <c r="V75" i="88"/>
  <c r="V71" i="88"/>
  <c r="V67" i="88"/>
  <c r="V59" i="88"/>
  <c r="V51" i="88"/>
  <c r="V43" i="88"/>
  <c r="V31" i="88"/>
  <c r="V74" i="88"/>
  <c r="V70" i="88"/>
  <c r="V66" i="88"/>
  <c r="V58" i="88"/>
  <c r="V50" i="88"/>
  <c r="F26" i="88"/>
  <c r="J30" i="88"/>
  <c r="J31" i="88"/>
  <c r="J32" i="88"/>
  <c r="V34" i="88"/>
  <c r="V35" i="88"/>
  <c r="V40" i="88"/>
  <c r="J45" i="88"/>
  <c r="F51" i="88"/>
  <c r="N52" i="88"/>
  <c r="Z58" i="88"/>
  <c r="L60" i="88"/>
  <c r="N60" i="88" s="1"/>
  <c r="F65" i="88"/>
  <c r="X66" i="88"/>
  <c r="F69" i="88"/>
  <c r="J73" i="88"/>
  <c r="J84" i="88"/>
  <c r="L53" i="89"/>
  <c r="N53" i="89" s="1"/>
  <c r="N57" i="89"/>
  <c r="J18" i="88"/>
  <c r="V38" i="88"/>
  <c r="V39" i="88"/>
  <c r="F43" i="88"/>
  <c r="F44" i="88"/>
  <c r="V46" i="88"/>
  <c r="V53" i="88"/>
  <c r="F60" i="88"/>
  <c r="J62" i="88"/>
  <c r="J64" i="88"/>
  <c r="J65" i="88"/>
  <c r="N69" i="88"/>
  <c r="Z74" i="88"/>
  <c r="J76" i="88"/>
  <c r="V80" i="88"/>
  <c r="V86" i="88"/>
  <c r="T28" i="90"/>
  <c r="Z24" i="90"/>
  <c r="F19" i="88"/>
  <c r="J26" i="88"/>
  <c r="J42" i="88"/>
  <c r="J43" i="88"/>
  <c r="J44" i="88"/>
  <c r="F59" i="88"/>
  <c r="Z66" i="88"/>
  <c r="J68" i="88"/>
  <c r="X69" i="88"/>
  <c r="J72" i="88"/>
  <c r="D12" i="89"/>
  <c r="N25" i="89"/>
  <c r="Z63" i="89"/>
  <c r="P20" i="90"/>
  <c r="X20" i="90" s="1"/>
  <c r="X21" i="90"/>
  <c r="F90" i="88"/>
  <c r="F84" i="88"/>
  <c r="F76" i="88"/>
  <c r="F72" i="88"/>
  <c r="F68" i="88"/>
  <c r="F81" i="88"/>
  <c r="F70" i="88"/>
  <c r="F42" i="88"/>
  <c r="F37" i="88"/>
  <c r="F30" i="88"/>
  <c r="F64" i="88"/>
  <c r="F61" i="88"/>
  <c r="F56" i="88"/>
  <c r="F53" i="88"/>
  <c r="F48" i="88"/>
  <c r="F41" i="88"/>
  <c r="F29" i="88"/>
  <c r="D23" i="88"/>
  <c r="F21" i="88"/>
  <c r="F83" i="88"/>
  <c r="F80" i="88"/>
  <c r="F40" i="88"/>
  <c r="F36" i="88"/>
  <c r="F28" i="88"/>
  <c r="F79" i="88"/>
  <c r="F74" i="88"/>
  <c r="F66" i="88"/>
  <c r="F63" i="88"/>
  <c r="F58" i="88"/>
  <c r="F55" i="88"/>
  <c r="F50" i="88"/>
  <c r="F47" i="88"/>
  <c r="J19" i="88"/>
  <c r="F20" i="88"/>
  <c r="J21" i="88"/>
  <c r="Z25" i="88"/>
  <c r="F27" i="88"/>
  <c r="V54" i="88"/>
  <c r="V61" i="88"/>
  <c r="Z69" i="88"/>
  <c r="F75" i="88"/>
  <c r="F78" i="88"/>
  <c r="J25" i="89"/>
  <c r="J81" i="88"/>
  <c r="J75" i="88"/>
  <c r="J71" i="88"/>
  <c r="J67" i="88"/>
  <c r="J59" i="88"/>
  <c r="J51" i="88"/>
  <c r="J88" i="88"/>
  <c r="J83" i="88"/>
  <c r="J61" i="88"/>
  <c r="J53" i="88"/>
  <c r="J41" i="88"/>
  <c r="J29" i="88"/>
  <c r="J80" i="88"/>
  <c r="J74" i="88"/>
  <c r="J66" i="88"/>
  <c r="J58" i="88"/>
  <c r="J50" i="88"/>
  <c r="J40" i="88"/>
  <c r="J36" i="88"/>
  <c r="J28" i="88"/>
  <c r="J20" i="88"/>
  <c r="J79" i="88"/>
  <c r="J69" i="88"/>
  <c r="J63" i="88"/>
  <c r="J55" i="88"/>
  <c r="J47" i="88"/>
  <c r="J39" i="88"/>
  <c r="J35" i="88"/>
  <c r="J27" i="88"/>
  <c r="J92" i="88"/>
  <c r="J86" i="88"/>
  <c r="J82" i="88"/>
  <c r="J78" i="88"/>
  <c r="J60" i="88"/>
  <c r="J52" i="88"/>
  <c r="J46" i="88"/>
  <c r="J23" i="88"/>
  <c r="L25" i="88"/>
  <c r="N25" i="88" s="1"/>
  <c r="V25" i="88"/>
  <c r="V30" i="88"/>
  <c r="F35" i="88"/>
  <c r="F49" i="88"/>
  <c r="X50" i="88"/>
  <c r="Z50" i="88" s="1"/>
  <c r="V52" i="88"/>
  <c r="F67" i="88"/>
  <c r="V69" i="88"/>
  <c r="F71" i="88"/>
  <c r="F82" i="88"/>
  <c r="L86" i="88"/>
  <c r="R81" i="89"/>
  <c r="R77" i="89"/>
  <c r="R45" i="89"/>
  <c r="R76" i="89"/>
  <c r="R72" i="89"/>
  <c r="R64" i="89"/>
  <c r="R61" i="89"/>
  <c r="R56" i="89"/>
  <c r="R53" i="89"/>
  <c r="R48" i="89"/>
  <c r="R89" i="89"/>
  <c r="R83" i="89"/>
  <c r="R80" i="89"/>
  <c r="R75" i="89"/>
  <c r="R71" i="89"/>
  <c r="R67" i="89"/>
  <c r="R74" i="89"/>
  <c r="R70" i="89"/>
  <c r="R66" i="89"/>
  <c r="R63" i="89"/>
  <c r="R58" i="89"/>
  <c r="R55" i="89"/>
  <c r="R50" i="89"/>
  <c r="R47" i="89"/>
  <c r="R42" i="89"/>
  <c r="R82" i="89"/>
  <c r="R69" i="89"/>
  <c r="R41" i="89"/>
  <c r="R85" i="89"/>
  <c r="R78" i="89"/>
  <c r="R62" i="89"/>
  <c r="R59" i="89"/>
  <c r="R54" i="89"/>
  <c r="R51" i="89"/>
  <c r="R46" i="89"/>
  <c r="R38" i="89"/>
  <c r="R68" i="89"/>
  <c r="R35" i="89"/>
  <c r="R34" i="89"/>
  <c r="R26" i="89"/>
  <c r="R18" i="89"/>
  <c r="X12" i="89"/>
  <c r="Z12" i="89" s="1"/>
  <c r="R33" i="89"/>
  <c r="R32" i="89"/>
  <c r="R25" i="89"/>
  <c r="R17" i="89"/>
  <c r="R65" i="89"/>
  <c r="R60" i="89"/>
  <c r="R43" i="89"/>
  <c r="R31" i="89"/>
  <c r="R22" i="89"/>
  <c r="R73" i="89"/>
  <c r="R57" i="89"/>
  <c r="R52" i="89"/>
  <c r="R49" i="89"/>
  <c r="R44" i="89"/>
  <c r="R30" i="89"/>
  <c r="P22" i="89"/>
  <c r="R79" i="89"/>
  <c r="R37" i="89"/>
  <c r="R36" i="89"/>
  <c r="R29" i="89"/>
  <c r="L61" i="89"/>
  <c r="N61" i="89" s="1"/>
  <c r="N16" i="90"/>
  <c r="H24" i="90"/>
  <c r="L12" i="88"/>
  <c r="N12" i="88" s="1"/>
  <c r="F25" i="88"/>
  <c r="V29" i="88"/>
  <c r="F34" i="88"/>
  <c r="J37" i="88"/>
  <c r="F38" i="88"/>
  <c r="F39" i="88"/>
  <c r="J48" i="88"/>
  <c r="J49" i="88"/>
  <c r="F54" i="88"/>
  <c r="V62" i="88"/>
  <c r="V78" i="88"/>
  <c r="F86" i="88"/>
  <c r="X24" i="89"/>
  <c r="Z24" i="89" s="1"/>
  <c r="D70" i="91"/>
  <c r="N55" i="91"/>
  <c r="J82" i="89"/>
  <c r="J60" i="89"/>
  <c r="J52" i="89"/>
  <c r="J40" i="89"/>
  <c r="J79" i="89"/>
  <c r="J73" i="89"/>
  <c r="J65" i="89"/>
  <c r="J57" i="89"/>
  <c r="J49" i="89"/>
  <c r="J78" i="89"/>
  <c r="J68" i="89"/>
  <c r="J62" i="89"/>
  <c r="J54" i="89"/>
  <c r="J85" i="89"/>
  <c r="J81" i="89"/>
  <c r="J77" i="89"/>
  <c r="J59" i="89"/>
  <c r="J51" i="89"/>
  <c r="J45" i="89"/>
  <c r="J37" i="89"/>
  <c r="J76" i="89"/>
  <c r="J72" i="89"/>
  <c r="J64" i="89"/>
  <c r="J56" i="89"/>
  <c r="J48" i="89"/>
  <c r="J44" i="89"/>
  <c r="J69" i="89"/>
  <c r="J63" i="89"/>
  <c r="J55" i="89"/>
  <c r="J47" i="89"/>
  <c r="J41" i="89"/>
  <c r="V20" i="89"/>
  <c r="V24" i="89"/>
  <c r="V28" i="89"/>
  <c r="J32" i="89"/>
  <c r="V39" i="89"/>
  <c r="J42" i="89"/>
  <c r="J43" i="89"/>
  <c r="J61" i="89"/>
  <c r="N65" i="89"/>
  <c r="J89" i="89"/>
  <c r="T70" i="91"/>
  <c r="V29" i="89"/>
  <c r="J33" i="89"/>
  <c r="J75" i="89"/>
  <c r="V79" i="89"/>
  <c r="J83" i="89"/>
  <c r="P16" i="90"/>
  <c r="X14" i="90"/>
  <c r="Z30" i="91"/>
  <c r="X15" i="89"/>
  <c r="J18" i="89"/>
  <c r="J24" i="89"/>
  <c r="J26" i="89"/>
  <c r="V30" i="89"/>
  <c r="J34" i="89"/>
  <c r="V36" i="89"/>
  <c r="J46" i="89"/>
  <c r="J71" i="89"/>
  <c r="X85" i="89"/>
  <c r="F65" i="91"/>
  <c r="F59" i="91"/>
  <c r="F55" i="91"/>
  <c r="F52" i="91"/>
  <c r="F47" i="91"/>
  <c r="F44" i="91"/>
  <c r="F68" i="91"/>
  <c r="F61" i="91"/>
  <c r="F58" i="91"/>
  <c r="F54" i="91"/>
  <c r="F49" i="91"/>
  <c r="F46" i="91"/>
  <c r="F41" i="91"/>
  <c r="F34" i="91"/>
  <c r="F64" i="91"/>
  <c r="F57" i="91"/>
  <c r="F67" i="91"/>
  <c r="F62" i="91"/>
  <c r="F53" i="91"/>
  <c r="F50" i="91"/>
  <c r="F45" i="91"/>
  <c r="F42" i="91"/>
  <c r="F38" i="91"/>
  <c r="F51" i="91"/>
  <c r="F40" i="91"/>
  <c r="F39" i="91"/>
  <c r="F32" i="91"/>
  <c r="F28" i="91"/>
  <c r="F19" i="91"/>
  <c r="F15" i="91"/>
  <c r="F31" i="91"/>
  <c r="F27" i="91"/>
  <c r="F26" i="91"/>
  <c r="F25" i="91"/>
  <c r="F20" i="91"/>
  <c r="F48" i="91"/>
  <c r="F24" i="91"/>
  <c r="F17" i="91"/>
  <c r="F56" i="91"/>
  <c r="F43" i="91"/>
  <c r="F35" i="91"/>
  <c r="F33" i="91"/>
  <c r="F29" i="91"/>
  <c r="F21" i="91"/>
  <c r="N19" i="91"/>
  <c r="N20" i="91"/>
  <c r="V30" i="91"/>
  <c r="F60" i="91"/>
  <c r="J19" i="89"/>
  <c r="T22" i="89"/>
  <c r="J27" i="89"/>
  <c r="V31" i="89"/>
  <c r="J35" i="89"/>
  <c r="V42" i="89"/>
  <c r="V43" i="89"/>
  <c r="P70" i="91"/>
  <c r="X17" i="91"/>
  <c r="Z17" i="91" s="1"/>
  <c r="F22" i="91"/>
  <c r="R21" i="92"/>
  <c r="R18" i="92"/>
  <c r="R36" i="92"/>
  <c r="R33" i="92"/>
  <c r="R29" i="92"/>
  <c r="R25" i="92"/>
  <c r="P18" i="92"/>
  <c r="R15" i="92"/>
  <c r="R22" i="92"/>
  <c r="X12" i="92"/>
  <c r="R24" i="92"/>
  <c r="R16" i="92"/>
  <c r="R20" i="92"/>
  <c r="R31" i="92"/>
  <c r="R34" i="92"/>
  <c r="V80" i="89"/>
  <c r="V76" i="89"/>
  <c r="V72" i="89"/>
  <c r="V64" i="89"/>
  <c r="V56" i="89"/>
  <c r="V48" i="89"/>
  <c r="V44" i="89"/>
  <c r="V89" i="89"/>
  <c r="V83" i="89"/>
  <c r="V75" i="89"/>
  <c r="V71" i="89"/>
  <c r="V67" i="89"/>
  <c r="V63" i="89"/>
  <c r="V55" i="89"/>
  <c r="V47" i="89"/>
  <c r="V82" i="89"/>
  <c r="V74" i="89"/>
  <c r="V70" i="89"/>
  <c r="V66" i="89"/>
  <c r="V58" i="89"/>
  <c r="V50" i="89"/>
  <c r="V73" i="89"/>
  <c r="V69" i="89"/>
  <c r="V65" i="89"/>
  <c r="V57" i="89"/>
  <c r="V49" i="89"/>
  <c r="V41" i="89"/>
  <c r="V68" i="89"/>
  <c r="V60" i="89"/>
  <c r="V52" i="89"/>
  <c r="V40" i="89"/>
  <c r="V81" i="89"/>
  <c r="V77" i="89"/>
  <c r="V61" i="89"/>
  <c r="V53" i="89"/>
  <c r="V45" i="89"/>
  <c r="V37" i="89"/>
  <c r="V22" i="89"/>
  <c r="V32" i="89"/>
  <c r="J36" i="89"/>
  <c r="J38" i="89"/>
  <c r="J39" i="89"/>
  <c r="J50" i="89"/>
  <c r="Z51" i="89"/>
  <c r="X51" i="89"/>
  <c r="J58" i="89"/>
  <c r="J67" i="89"/>
  <c r="X68" i="89"/>
  <c r="Z68" i="89" s="1"/>
  <c r="J74" i="89"/>
  <c r="V85" i="89"/>
  <c r="V36" i="92"/>
  <c r="V33" i="92"/>
  <c r="V29" i="92"/>
  <c r="V25" i="92"/>
  <c r="T18" i="92"/>
  <c r="V15" i="92"/>
  <c r="V22" i="92"/>
  <c r="V20" i="92"/>
  <c r="V16" i="92"/>
  <c r="Z12" i="92"/>
  <c r="V34" i="92"/>
  <c r="V31" i="92"/>
  <c r="V27" i="92"/>
  <c r="V18" i="92"/>
  <c r="V24" i="92"/>
  <c r="V21" i="92"/>
  <c r="R27" i="92"/>
  <c r="V17" i="89"/>
  <c r="H22" i="89"/>
  <c r="V25" i="89"/>
  <c r="J29" i="89"/>
  <c r="V33" i="89"/>
  <c r="V46" i="89"/>
  <c r="V51" i="89"/>
  <c r="X59" i="89"/>
  <c r="Z59" i="89" s="1"/>
  <c r="J66" i="89"/>
  <c r="J70" i="89"/>
  <c r="L16" i="90"/>
  <c r="F37" i="91"/>
  <c r="X45" i="91"/>
  <c r="Z45" i="91" s="1"/>
  <c r="Z51" i="91"/>
  <c r="N14" i="90"/>
  <c r="V16" i="90"/>
  <c r="V20" i="90"/>
  <c r="J28" i="90"/>
  <c r="J68" i="91"/>
  <c r="J61" i="91"/>
  <c r="J49" i="91"/>
  <c r="J64" i="91"/>
  <c r="J58" i="91"/>
  <c r="J54" i="91"/>
  <c r="J46" i="91"/>
  <c r="J57" i="91"/>
  <c r="J51" i="91"/>
  <c r="J43" i="91"/>
  <c r="J33" i="91"/>
  <c r="J72" i="91"/>
  <c r="J60" i="91"/>
  <c r="J56" i="91"/>
  <c r="J48" i="91"/>
  <c r="J65" i="91"/>
  <c r="J59" i="91"/>
  <c r="J55" i="91"/>
  <c r="J47" i="91"/>
  <c r="J37" i="91"/>
  <c r="X15" i="91"/>
  <c r="V24" i="91"/>
  <c r="R25" i="91"/>
  <c r="J28" i="91"/>
  <c r="R30" i="91"/>
  <c r="J32" i="91"/>
  <c r="J34" i="91"/>
  <c r="J39" i="91"/>
  <c r="J40" i="91"/>
  <c r="J45" i="91"/>
  <c r="V46" i="91"/>
  <c r="L21" i="92"/>
  <c r="L16" i="94"/>
  <c r="X29" i="94"/>
  <c r="V21" i="90"/>
  <c r="R57" i="91"/>
  <c r="R72" i="91"/>
  <c r="R60" i="91"/>
  <c r="R56" i="91"/>
  <c r="R53" i="91"/>
  <c r="R48" i="91"/>
  <c r="R45" i="91"/>
  <c r="R63" i="91"/>
  <c r="R39" i="91"/>
  <c r="R62" i="91"/>
  <c r="R59" i="91"/>
  <c r="R55" i="91"/>
  <c r="R50" i="91"/>
  <c r="R47" i="91"/>
  <c r="R42" i="91"/>
  <c r="R38" i="91"/>
  <c r="R65" i="91"/>
  <c r="R58" i="91"/>
  <c r="R54" i="91"/>
  <c r="R51" i="91"/>
  <c r="R46" i="91"/>
  <c r="R43" i="91"/>
  <c r="V17" i="91"/>
  <c r="J23" i="91"/>
  <c r="V27" i="91"/>
  <c r="R28" i="91"/>
  <c r="V31" i="91"/>
  <c r="R32" i="91"/>
  <c r="R33" i="91"/>
  <c r="R34" i="91"/>
  <c r="V39" i="91"/>
  <c r="R40" i="91"/>
  <c r="X43" i="91"/>
  <c r="R61" i="91"/>
  <c r="J63" i="91"/>
  <c r="D27" i="93"/>
  <c r="J31" i="94"/>
  <c r="V14" i="90"/>
  <c r="V18" i="90"/>
  <c r="J24" i="90"/>
  <c r="V72" i="91"/>
  <c r="V60" i="91"/>
  <c r="V56" i="91"/>
  <c r="V63" i="91"/>
  <c r="V59" i="91"/>
  <c r="V55" i="91"/>
  <c r="V47" i="91"/>
  <c r="V62" i="91"/>
  <c r="V50" i="91"/>
  <c r="V42" i="91"/>
  <c r="V38" i="91"/>
  <c r="V65" i="91"/>
  <c r="V61" i="91"/>
  <c r="V49" i="91"/>
  <c r="V41" i="91"/>
  <c r="V37" i="91"/>
  <c r="V68" i="91"/>
  <c r="V64" i="91"/>
  <c r="V52" i="91"/>
  <c r="V44" i="91"/>
  <c r="V67" i="91"/>
  <c r="V57" i="91"/>
  <c r="V53" i="91"/>
  <c r="V45" i="91"/>
  <c r="H17" i="91"/>
  <c r="L17" i="91" s="1"/>
  <c r="V20" i="91"/>
  <c r="R21" i="91"/>
  <c r="J24" i="91"/>
  <c r="V28" i="91"/>
  <c r="R29" i="91"/>
  <c r="J30" i="91"/>
  <c r="V32" i="91"/>
  <c r="V33" i="91"/>
  <c r="V34" i="91"/>
  <c r="R35" i="91"/>
  <c r="V40" i="91"/>
  <c r="Z43" i="91"/>
  <c r="N53" i="91"/>
  <c r="V58" i="91"/>
  <c r="R64" i="91"/>
  <c r="L67" i="91"/>
  <c r="N67" i="91" s="1"/>
  <c r="L13" i="93"/>
  <c r="X15" i="94"/>
  <c r="X12" i="91"/>
  <c r="Z12" i="91" s="1"/>
  <c r="R15" i="91"/>
  <c r="J17" i="91"/>
  <c r="R19" i="91"/>
  <c r="V21" i="91"/>
  <c r="R22" i="91"/>
  <c r="J25" i="91"/>
  <c r="V29" i="91"/>
  <c r="V35" i="91"/>
  <c r="R36" i="91"/>
  <c r="R37" i="91"/>
  <c r="R41" i="91"/>
  <c r="V43" i="91"/>
  <c r="J52" i="91"/>
  <c r="J53" i="91"/>
  <c r="V54" i="91"/>
  <c r="Z64" i="91"/>
  <c r="J67" i="91"/>
  <c r="P67" i="91"/>
  <c r="X67" i="91" s="1"/>
  <c r="Z67" i="91" s="1"/>
  <c r="X68" i="91"/>
  <c r="Z68" i="91" s="1"/>
  <c r="X24" i="92"/>
  <c r="J20" i="91"/>
  <c r="V22" i="91"/>
  <c r="R23" i="91"/>
  <c r="J26" i="91"/>
  <c r="V36" i="91"/>
  <c r="V48" i="91"/>
  <c r="R49" i="91"/>
  <c r="J62" i="91"/>
  <c r="R68" i="91"/>
  <c r="F34" i="94"/>
  <c r="F31" i="94"/>
  <c r="F27" i="94"/>
  <c r="F24" i="94"/>
  <c r="F21" i="94"/>
  <c r="F18" i="94"/>
  <c r="F36" i="94"/>
  <c r="F33" i="94"/>
  <c r="F29" i="94"/>
  <c r="F25" i="94"/>
  <c r="D18" i="94"/>
  <c r="F15" i="94"/>
  <c r="L12" i="94"/>
  <c r="F20" i="94"/>
  <c r="F16" i="94"/>
  <c r="D20" i="90"/>
  <c r="V15" i="91"/>
  <c r="V19" i="91"/>
  <c r="V23" i="91"/>
  <c r="R24" i="91"/>
  <c r="J27" i="91"/>
  <c r="J31" i="91"/>
  <c r="L43" i="91"/>
  <c r="N43" i="91" s="1"/>
  <c r="J44" i="91"/>
  <c r="N45" i="91"/>
  <c r="X34" i="92"/>
  <c r="L33" i="93"/>
  <c r="J21" i="94"/>
  <c r="J18" i="94"/>
  <c r="J36" i="94"/>
  <c r="J33" i="94"/>
  <c r="J29" i="94"/>
  <c r="J25" i="94"/>
  <c r="H18" i="94"/>
  <c r="J15" i="94"/>
  <c r="J22" i="94"/>
  <c r="N12" i="94"/>
  <c r="J24" i="94"/>
  <c r="X22" i="94"/>
  <c r="X25" i="94"/>
  <c r="N12" i="92"/>
  <c r="J22" i="92"/>
  <c r="J16" i="93"/>
  <c r="J20" i="93"/>
  <c r="F22" i="93"/>
  <c r="Z12" i="94"/>
  <c r="V16" i="94"/>
  <c r="V20" i="94"/>
  <c r="J21" i="92"/>
  <c r="F27" i="92"/>
  <c r="F31" i="92"/>
  <c r="F34" i="92"/>
  <c r="J15" i="93"/>
  <c r="H18" i="93"/>
  <c r="F21" i="93"/>
  <c r="V21" i="93"/>
  <c r="J25" i="93"/>
  <c r="R27" i="93"/>
  <c r="J29" i="93"/>
  <c r="R31" i="93"/>
  <c r="J33" i="93"/>
  <c r="R34" i="93"/>
  <c r="J36" i="93"/>
  <c r="V15" i="94"/>
  <c r="T18" i="94"/>
  <c r="R21" i="94"/>
  <c r="V25" i="94"/>
  <c r="V29" i="94"/>
  <c r="V33" i="94"/>
  <c r="V36" i="94"/>
  <c r="F16" i="92"/>
  <c r="F20" i="92"/>
  <c r="J24" i="92"/>
  <c r="R16" i="93"/>
  <c r="J18" i="93"/>
  <c r="R20" i="93"/>
  <c r="F24" i="93"/>
  <c r="V24" i="93"/>
  <c r="V18" i="94"/>
  <c r="R24" i="94"/>
  <c r="J27" i="92"/>
  <c r="J31" i="92"/>
  <c r="J34" i="92"/>
  <c r="X12" i="93"/>
  <c r="J21" i="93"/>
  <c r="F27" i="93"/>
  <c r="V27" i="93"/>
  <c r="F31" i="93"/>
  <c r="V31" i="93"/>
  <c r="F34" i="93"/>
  <c r="V21" i="94"/>
  <c r="R27" i="94"/>
  <c r="R31" i="94"/>
  <c r="J16" i="92"/>
  <c r="J20" i="92"/>
  <c r="F16" i="93"/>
  <c r="J24" i="93"/>
  <c r="V24" i="94"/>
  <c r="F25" i="92"/>
  <c r="F29" i="92"/>
  <c r="F33" i="92"/>
  <c r="J27" i="93"/>
  <c r="J31" i="93"/>
  <c r="V27" i="94"/>
  <c r="V31" i="94"/>
  <c r="N18" i="29" l="1"/>
  <c r="Z18" i="47"/>
  <c r="Z18" i="93"/>
  <c r="N18" i="25"/>
  <c r="Z18" i="44"/>
  <c r="H31" i="25"/>
  <c r="N31" i="25" s="1"/>
  <c r="T36" i="34"/>
  <c r="Z36" i="34" s="1"/>
  <c r="N18" i="92"/>
  <c r="N18" i="31"/>
  <c r="Z18" i="20"/>
  <c r="X18" i="28"/>
  <c r="H27" i="41"/>
  <c r="N27" i="41" s="1"/>
  <c r="X18" i="23"/>
  <c r="L18" i="92"/>
  <c r="X18" i="7"/>
  <c r="D27" i="92"/>
  <c r="L27" i="92" s="1"/>
  <c r="X18" i="38"/>
  <c r="Z27" i="20"/>
  <c r="Z18" i="10"/>
  <c r="X18" i="71"/>
  <c r="X18" i="93"/>
  <c r="H27" i="38"/>
  <c r="N27" i="38" s="1"/>
  <c r="X18" i="35"/>
  <c r="X18" i="34"/>
  <c r="T31" i="32"/>
  <c r="X18" i="37"/>
  <c r="Z18" i="34"/>
  <c r="Z27" i="34"/>
  <c r="L18" i="44"/>
  <c r="Z18" i="32"/>
  <c r="X18" i="10"/>
  <c r="P27" i="93"/>
  <c r="P31" i="93" s="1"/>
  <c r="L18" i="47"/>
  <c r="D27" i="20"/>
  <c r="L18" i="20"/>
  <c r="H27" i="20"/>
  <c r="N18" i="20"/>
  <c r="Z27" i="93"/>
  <c r="T31" i="93"/>
  <c r="T27" i="94"/>
  <c r="X27" i="94" s="1"/>
  <c r="Z18" i="94"/>
  <c r="D31" i="93"/>
  <c r="H87" i="89"/>
  <c r="J22" i="89"/>
  <c r="T87" i="89"/>
  <c r="H28" i="90"/>
  <c r="N24" i="90"/>
  <c r="P87" i="89"/>
  <c r="X22" i="89"/>
  <c r="Z22" i="89" s="1"/>
  <c r="Z28" i="90"/>
  <c r="T31" i="90"/>
  <c r="Z31" i="90" s="1"/>
  <c r="H95" i="88"/>
  <c r="R80" i="82"/>
  <c r="R72" i="82"/>
  <c r="R64" i="82"/>
  <c r="R56" i="82"/>
  <c r="R53" i="82"/>
  <c r="R40" i="82"/>
  <c r="R76" i="82"/>
  <c r="R71" i="82"/>
  <c r="R63" i="82"/>
  <c r="R59" i="82"/>
  <c r="R47" i="82"/>
  <c r="R44" i="82"/>
  <c r="R39" i="82"/>
  <c r="R88" i="82"/>
  <c r="R82" i="82"/>
  <c r="R79" i="82"/>
  <c r="R70" i="82"/>
  <c r="R66" i="82"/>
  <c r="R93" i="82"/>
  <c r="R86" i="82"/>
  <c r="R69" i="82"/>
  <c r="R61" i="82"/>
  <c r="R81" i="82"/>
  <c r="R68" i="82"/>
  <c r="R65" i="82"/>
  <c r="R75" i="82"/>
  <c r="R60" i="82"/>
  <c r="R35" i="82"/>
  <c r="R31" i="82"/>
  <c r="R16" i="82"/>
  <c r="R77" i="82"/>
  <c r="R67" i="82"/>
  <c r="R57" i="82"/>
  <c r="R45" i="82"/>
  <c r="R34" i="82"/>
  <c r="R30" i="82"/>
  <c r="R23" i="82"/>
  <c r="R90" i="82"/>
  <c r="R78" i="82"/>
  <c r="R73" i="82"/>
  <c r="R58" i="82"/>
  <c r="R52" i="82"/>
  <c r="R29" i="82"/>
  <c r="R20" i="82"/>
  <c r="R74" i="82"/>
  <c r="R51" i="82"/>
  <c r="R33" i="82"/>
  <c r="R28" i="82"/>
  <c r="P20" i="82"/>
  <c r="R84" i="82"/>
  <c r="R55" i="82"/>
  <c r="R50" i="82"/>
  <c r="R27" i="82"/>
  <c r="R49" i="82"/>
  <c r="R42" i="82"/>
  <c r="R41" i="82"/>
  <c r="R38" i="82"/>
  <c r="R26" i="82"/>
  <c r="R18" i="82"/>
  <c r="R43" i="82"/>
  <c r="R48" i="82"/>
  <c r="R22" i="82"/>
  <c r="R17" i="82"/>
  <c r="R54" i="82"/>
  <c r="R62" i="82"/>
  <c r="R46" i="82"/>
  <c r="R24" i="82"/>
  <c r="X12" i="82"/>
  <c r="Z12" i="82" s="1"/>
  <c r="R36" i="82"/>
  <c r="R25" i="82"/>
  <c r="R32" i="82"/>
  <c r="R37" i="82"/>
  <c r="L16" i="80"/>
  <c r="D26" i="80"/>
  <c r="P32" i="79"/>
  <c r="F85" i="81"/>
  <c r="F77" i="81"/>
  <c r="F73" i="81"/>
  <c r="F69" i="81"/>
  <c r="F65" i="81"/>
  <c r="F60" i="81"/>
  <c r="F57" i="81"/>
  <c r="F45" i="81"/>
  <c r="F37" i="81"/>
  <c r="F89" i="81"/>
  <c r="F76" i="81"/>
  <c r="F68" i="81"/>
  <c r="F51" i="81"/>
  <c r="F48" i="81"/>
  <c r="F44" i="81"/>
  <c r="F87" i="81"/>
  <c r="F75" i="81"/>
  <c r="F62" i="81"/>
  <c r="F59" i="81"/>
  <c r="F43" i="81"/>
  <c r="F81" i="81"/>
  <c r="F53" i="81"/>
  <c r="F50" i="81"/>
  <c r="F42" i="81"/>
  <c r="F90" i="81"/>
  <c r="F84" i="81"/>
  <c r="F72" i="81"/>
  <c r="F64" i="81"/>
  <c r="F61" i="81"/>
  <c r="F56" i="81"/>
  <c r="F41" i="81"/>
  <c r="F36" i="81"/>
  <c r="F80" i="81"/>
  <c r="F67" i="81"/>
  <c r="F52" i="81"/>
  <c r="F39" i="81"/>
  <c r="F35" i="81"/>
  <c r="F32" i="81"/>
  <c r="F40" i="81"/>
  <c r="F31" i="81"/>
  <c r="F26" i="81"/>
  <c r="F18" i="81"/>
  <c r="F78" i="81"/>
  <c r="F30" i="81"/>
  <c r="F23" i="81"/>
  <c r="F70" i="81"/>
  <c r="F29" i="81"/>
  <c r="D23" i="81"/>
  <c r="F21" i="81"/>
  <c r="F94" i="81"/>
  <c r="F79" i="81"/>
  <c r="F47" i="81"/>
  <c r="F46" i="81"/>
  <c r="F28" i="81"/>
  <c r="F20" i="81"/>
  <c r="L12" i="81"/>
  <c r="N12" i="81" s="1"/>
  <c r="F82" i="81"/>
  <c r="F74" i="81"/>
  <c r="F71" i="81"/>
  <c r="F58" i="81"/>
  <c r="F54" i="81"/>
  <c r="F38" i="81"/>
  <c r="F27" i="81"/>
  <c r="F19" i="81"/>
  <c r="F63" i="81"/>
  <c r="F55" i="81"/>
  <c r="F66" i="81"/>
  <c r="F33" i="81"/>
  <c r="F83" i="81"/>
  <c r="F86" i="81"/>
  <c r="F34" i="81"/>
  <c r="F49" i="81"/>
  <c r="F25" i="81"/>
  <c r="F27" i="73"/>
  <c r="F19" i="73"/>
  <c r="D19" i="73"/>
  <c r="F17" i="73"/>
  <c r="L12" i="73"/>
  <c r="N12" i="73" s="1"/>
  <c r="F23" i="73"/>
  <c r="F21" i="73"/>
  <c r="F16" i="73"/>
  <c r="H28" i="79"/>
  <c r="N16" i="79"/>
  <c r="X19" i="72"/>
  <c r="L101" i="68"/>
  <c r="F101" i="68"/>
  <c r="T93" i="62"/>
  <c r="Z16" i="62"/>
  <c r="F86" i="45"/>
  <c r="F82" i="45"/>
  <c r="F77" i="45"/>
  <c r="F46" i="45"/>
  <c r="F38" i="45"/>
  <c r="F34" i="45"/>
  <c r="F25" i="45"/>
  <c r="F89" i="45"/>
  <c r="F81" i="45"/>
  <c r="F72" i="45"/>
  <c r="F68" i="45"/>
  <c r="F65" i="45"/>
  <c r="F60" i="45"/>
  <c r="F57" i="45"/>
  <c r="F52" i="45"/>
  <c r="F49" i="45"/>
  <c r="F45" i="45"/>
  <c r="F33" i="45"/>
  <c r="F93" i="45"/>
  <c r="F80" i="45"/>
  <c r="F76" i="45"/>
  <c r="F44" i="45"/>
  <c r="F32" i="45"/>
  <c r="F97" i="45"/>
  <c r="F91" i="45"/>
  <c r="F79" i="45"/>
  <c r="F75" i="45"/>
  <c r="F71" i="45"/>
  <c r="F67" i="45"/>
  <c r="F62" i="45"/>
  <c r="F59" i="45"/>
  <c r="F54" i="45"/>
  <c r="F51" i="45"/>
  <c r="F43" i="45"/>
  <c r="F31" i="45"/>
  <c r="F26" i="45"/>
  <c r="F18" i="45"/>
  <c r="F85" i="45"/>
  <c r="F78" i="45"/>
  <c r="F74" i="45"/>
  <c r="F70" i="45"/>
  <c r="F42" i="45"/>
  <c r="F37" i="45"/>
  <c r="F30" i="45"/>
  <c r="F88" i="45"/>
  <c r="F73" i="45"/>
  <c r="F69" i="45"/>
  <c r="F64" i="45"/>
  <c r="F61" i="45"/>
  <c r="F56" i="45"/>
  <c r="F53" i="45"/>
  <c r="F48" i="45"/>
  <c r="F41" i="45"/>
  <c r="F29" i="45"/>
  <c r="D23" i="45"/>
  <c r="F21" i="45"/>
  <c r="F90" i="45"/>
  <c r="F87" i="45"/>
  <c r="F83" i="45"/>
  <c r="F66" i="45"/>
  <c r="F63" i="45"/>
  <c r="F58" i="45"/>
  <c r="F55" i="45"/>
  <c r="F50" i="45"/>
  <c r="F47" i="45"/>
  <c r="F39" i="45"/>
  <c r="F35" i="45"/>
  <c r="F27" i="45"/>
  <c r="F19" i="45"/>
  <c r="L12" i="45"/>
  <c r="N12" i="45" s="1"/>
  <c r="F40" i="45"/>
  <c r="F20" i="45"/>
  <c r="F84" i="45"/>
  <c r="F28" i="45"/>
  <c r="F36" i="45"/>
  <c r="P72" i="57"/>
  <c r="V70" i="48"/>
  <c r="T36" i="64"/>
  <c r="T31" i="53"/>
  <c r="Z27" i="53"/>
  <c r="H27" i="43"/>
  <c r="N18" i="43"/>
  <c r="L18" i="40"/>
  <c r="D27" i="40"/>
  <c r="L18" i="37"/>
  <c r="D27" i="37"/>
  <c r="L24" i="39"/>
  <c r="N24" i="39" s="1"/>
  <c r="D107" i="39"/>
  <c r="F24" i="39"/>
  <c r="L18" i="31"/>
  <c r="D27" i="31"/>
  <c r="H27" i="35"/>
  <c r="N18" i="35"/>
  <c r="T71" i="33"/>
  <c r="X18" i="32"/>
  <c r="P27" i="32"/>
  <c r="P31" i="34"/>
  <c r="X27" i="34"/>
  <c r="T118" i="30"/>
  <c r="V39" i="30"/>
  <c r="L18" i="26"/>
  <c r="D27" i="26"/>
  <c r="F157" i="18"/>
  <c r="F152" i="18"/>
  <c r="F136" i="18"/>
  <c r="F113" i="18"/>
  <c r="F108" i="18"/>
  <c r="F105" i="18"/>
  <c r="F96" i="18"/>
  <c r="F93" i="18"/>
  <c r="F84" i="18"/>
  <c r="F81" i="18"/>
  <c r="F77" i="18"/>
  <c r="F65" i="18"/>
  <c r="F49" i="18"/>
  <c r="F41" i="18"/>
  <c r="F33" i="18"/>
  <c r="F25" i="18"/>
  <c r="F20" i="18"/>
  <c r="F149" i="18"/>
  <c r="F143" i="18"/>
  <c r="F139" i="18"/>
  <c r="F76" i="18"/>
  <c r="F64" i="18"/>
  <c r="F48" i="18"/>
  <c r="F40" i="18"/>
  <c r="F32" i="18"/>
  <c r="F24" i="18"/>
  <c r="L12" i="18"/>
  <c r="N12" i="18" s="1"/>
  <c r="F135" i="18"/>
  <c r="F126" i="18"/>
  <c r="F122" i="18"/>
  <c r="F110" i="18"/>
  <c r="F107" i="18"/>
  <c r="F98" i="18"/>
  <c r="F95" i="18"/>
  <c r="F86" i="18"/>
  <c r="F83" i="18"/>
  <c r="F75" i="18"/>
  <c r="F63" i="18"/>
  <c r="F58" i="18"/>
  <c r="F47" i="18"/>
  <c r="F39" i="18"/>
  <c r="F31" i="18"/>
  <c r="F23" i="18"/>
  <c r="F151" i="18"/>
  <c r="F142" i="18"/>
  <c r="F138" i="18"/>
  <c r="F134" i="18"/>
  <c r="F129" i="18"/>
  <c r="F117" i="18"/>
  <c r="F101" i="18"/>
  <c r="F89" i="18"/>
  <c r="F74" i="18"/>
  <c r="F69" i="18"/>
  <c r="F62" i="18"/>
  <c r="F46" i="18"/>
  <c r="F38" i="18"/>
  <c r="F30" i="18"/>
  <c r="F22" i="18"/>
  <c r="F148" i="18"/>
  <c r="F146" i="18"/>
  <c r="F141" i="18"/>
  <c r="F137" i="18"/>
  <c r="F133" i="18"/>
  <c r="F125" i="18"/>
  <c r="F121" i="18"/>
  <c r="F112" i="18"/>
  <c r="F109" i="18"/>
  <c r="F104" i="18"/>
  <c r="F97" i="18"/>
  <c r="F92" i="18"/>
  <c r="F85" i="18"/>
  <c r="F80" i="18"/>
  <c r="F73" i="18"/>
  <c r="F61" i="18"/>
  <c r="D55" i="18"/>
  <c r="F55" i="18" s="1"/>
  <c r="F53" i="18"/>
  <c r="F45" i="18"/>
  <c r="F37" i="18"/>
  <c r="F29" i="18"/>
  <c r="F21" i="18"/>
  <c r="F153" i="18"/>
  <c r="F144" i="18"/>
  <c r="F140" i="18"/>
  <c r="F132" i="18"/>
  <c r="F128" i="18"/>
  <c r="F124" i="18"/>
  <c r="F120" i="18"/>
  <c r="F116" i="18"/>
  <c r="F100" i="18"/>
  <c r="F88" i="18"/>
  <c r="F72" i="18"/>
  <c r="F68" i="18"/>
  <c r="F60" i="18"/>
  <c r="F52" i="18"/>
  <c r="F44" i="18"/>
  <c r="F36" i="18"/>
  <c r="F28" i="18"/>
  <c r="F147" i="18"/>
  <c r="F130" i="18"/>
  <c r="F118" i="18"/>
  <c r="F114" i="18"/>
  <c r="F102" i="18"/>
  <c r="F90" i="18"/>
  <c r="F78" i="18"/>
  <c r="F70" i="18"/>
  <c r="F66" i="18"/>
  <c r="F57" i="18"/>
  <c r="F50" i="18"/>
  <c r="F42" i="18"/>
  <c r="F34" i="18"/>
  <c r="F26" i="18"/>
  <c r="F106" i="18"/>
  <c r="F71" i="18"/>
  <c r="F150" i="18"/>
  <c r="F127" i="18"/>
  <c r="F103" i="18"/>
  <c r="F82" i="18"/>
  <c r="F79" i="18"/>
  <c r="F111" i="18"/>
  <c r="F87" i="18"/>
  <c r="F51" i="18"/>
  <c r="F35" i="18"/>
  <c r="F94" i="18"/>
  <c r="F91" i="18"/>
  <c r="F119" i="18"/>
  <c r="F99" i="18"/>
  <c r="F67" i="18"/>
  <c r="F59" i="18"/>
  <c r="F131" i="18"/>
  <c r="F43" i="18"/>
  <c r="F27" i="18"/>
  <c r="F123" i="18"/>
  <c r="F115" i="18"/>
  <c r="P27" i="17"/>
  <c r="X18" i="17"/>
  <c r="T27" i="19"/>
  <c r="X27" i="19" s="1"/>
  <c r="Z18" i="19"/>
  <c r="L18" i="22"/>
  <c r="D27" i="22"/>
  <c r="P31" i="19"/>
  <c r="P22" i="6"/>
  <c r="X16" i="6"/>
  <c r="P31" i="10"/>
  <c r="X27" i="10"/>
  <c r="T27" i="4"/>
  <c r="Z18" i="4"/>
  <c r="H31" i="6"/>
  <c r="N26" i="6"/>
  <c r="P27" i="92"/>
  <c r="X18" i="92"/>
  <c r="T74" i="91"/>
  <c r="D74" i="91"/>
  <c r="H85" i="87"/>
  <c r="D26" i="84"/>
  <c r="L16" i="84"/>
  <c r="D57" i="86"/>
  <c r="L16" i="86"/>
  <c r="P34" i="85"/>
  <c r="N16" i="78"/>
  <c r="H73" i="78"/>
  <c r="H70" i="72"/>
  <c r="P74" i="72"/>
  <c r="F16" i="76"/>
  <c r="F23" i="76"/>
  <c r="F20" i="76"/>
  <c r="D20" i="76"/>
  <c r="F18" i="76"/>
  <c r="F26" i="76"/>
  <c r="F17" i="76"/>
  <c r="F24" i="76"/>
  <c r="F22" i="76"/>
  <c r="L12" i="76"/>
  <c r="N12" i="76" s="1"/>
  <c r="F30" i="76"/>
  <c r="H27" i="71"/>
  <c r="N18" i="71"/>
  <c r="L18" i="71"/>
  <c r="D27" i="71"/>
  <c r="T71" i="69"/>
  <c r="V22" i="69"/>
  <c r="F68" i="69"/>
  <c r="F69" i="69"/>
  <c r="F64" i="69"/>
  <c r="F56" i="69"/>
  <c r="F44" i="69"/>
  <c r="F36" i="69"/>
  <c r="F32" i="69"/>
  <c r="F19" i="69"/>
  <c r="F63" i="69"/>
  <c r="F59" i="69"/>
  <c r="F50" i="69"/>
  <c r="F47" i="69"/>
  <c r="F43" i="69"/>
  <c r="F31" i="69"/>
  <c r="F62" i="69"/>
  <c r="F42" i="69"/>
  <c r="F30" i="69"/>
  <c r="F25" i="69"/>
  <c r="L12" i="69"/>
  <c r="N12" i="69" s="1"/>
  <c r="F73" i="69"/>
  <c r="F61" i="69"/>
  <c r="F52" i="69"/>
  <c r="F49" i="69"/>
  <c r="F41" i="69"/>
  <c r="F29" i="69"/>
  <c r="F22" i="69"/>
  <c r="F55" i="69"/>
  <c r="F40" i="69"/>
  <c r="F35" i="69"/>
  <c r="F28" i="69"/>
  <c r="D22" i="69"/>
  <c r="F20" i="69"/>
  <c r="F60" i="69"/>
  <c r="F57" i="69"/>
  <c r="F53" i="69"/>
  <c r="F48" i="69"/>
  <c r="F45" i="69"/>
  <c r="F37" i="69"/>
  <c r="F33" i="69"/>
  <c r="F24" i="69"/>
  <c r="F66" i="69"/>
  <c r="F58" i="69"/>
  <c r="F39" i="69"/>
  <c r="F38" i="69"/>
  <c r="F26" i="69"/>
  <c r="F27" i="69"/>
  <c r="F54" i="69"/>
  <c r="F65" i="69"/>
  <c r="F46" i="69"/>
  <c r="F51" i="69"/>
  <c r="F34" i="69"/>
  <c r="D57" i="61"/>
  <c r="L16" i="61"/>
  <c r="D33" i="64"/>
  <c r="L29" i="64"/>
  <c r="P93" i="62"/>
  <c r="X16" i="62"/>
  <c r="R82" i="63"/>
  <c r="R76" i="63"/>
  <c r="R72" i="63"/>
  <c r="R69" i="63"/>
  <c r="R64" i="63"/>
  <c r="R61" i="63"/>
  <c r="R48" i="63"/>
  <c r="R41" i="63"/>
  <c r="R36" i="63"/>
  <c r="R20" i="63"/>
  <c r="R55" i="63"/>
  <c r="R52" i="63"/>
  <c r="R47" i="63"/>
  <c r="R35" i="63"/>
  <c r="R27" i="63"/>
  <c r="R19" i="63"/>
  <c r="R75" i="63"/>
  <c r="R71" i="63"/>
  <c r="R66" i="63"/>
  <c r="R57" i="63"/>
  <c r="R54" i="63"/>
  <c r="R45" i="63"/>
  <c r="R33" i="63"/>
  <c r="R25" i="63"/>
  <c r="R78" i="63"/>
  <c r="R59" i="63"/>
  <c r="R56" i="63"/>
  <c r="R51" i="63"/>
  <c r="R43" i="63"/>
  <c r="R39" i="63"/>
  <c r="R32" i="63"/>
  <c r="R23" i="63"/>
  <c r="R62" i="63"/>
  <c r="R50" i="63"/>
  <c r="R49" i="63"/>
  <c r="R44" i="63"/>
  <c r="R31" i="63"/>
  <c r="R29" i="63"/>
  <c r="R22" i="63"/>
  <c r="R21" i="63"/>
  <c r="R46" i="63"/>
  <c r="R17" i="63"/>
  <c r="R53" i="63"/>
  <c r="R34" i="63"/>
  <c r="R24" i="63"/>
  <c r="R26" i="63"/>
  <c r="R18" i="63"/>
  <c r="R63" i="63"/>
  <c r="R70" i="63"/>
  <c r="R58" i="63"/>
  <c r="R65" i="63"/>
  <c r="R40" i="63"/>
  <c r="P29" i="63"/>
  <c r="R37" i="63"/>
  <c r="R38" i="63"/>
  <c r="R74" i="63"/>
  <c r="X12" i="63"/>
  <c r="Z12" i="63" s="1"/>
  <c r="R42" i="63"/>
  <c r="R60" i="63"/>
  <c r="R67" i="63"/>
  <c r="R73" i="63"/>
  <c r="R68" i="63"/>
  <c r="T22" i="54"/>
  <c r="Z16" i="54"/>
  <c r="H78" i="51"/>
  <c r="Z16" i="59"/>
  <c r="T60" i="59"/>
  <c r="D74" i="58"/>
  <c r="L16" i="58"/>
  <c r="H70" i="48"/>
  <c r="H95" i="45"/>
  <c r="R78" i="45"/>
  <c r="R74" i="45"/>
  <c r="R70" i="45"/>
  <c r="R42" i="45"/>
  <c r="R30" i="45"/>
  <c r="R90" i="45"/>
  <c r="R73" i="45"/>
  <c r="R69" i="45"/>
  <c r="R66" i="45"/>
  <c r="R61" i="45"/>
  <c r="R58" i="45"/>
  <c r="R53" i="45"/>
  <c r="R50" i="45"/>
  <c r="R41" i="45"/>
  <c r="R29" i="45"/>
  <c r="R21" i="45"/>
  <c r="R84" i="45"/>
  <c r="R77" i="45"/>
  <c r="R40" i="45"/>
  <c r="R36" i="45"/>
  <c r="R28" i="45"/>
  <c r="R25" i="45"/>
  <c r="R20" i="45"/>
  <c r="X12" i="45"/>
  <c r="Z12" i="45" s="1"/>
  <c r="R87" i="45"/>
  <c r="R83" i="45"/>
  <c r="R72" i="45"/>
  <c r="R68" i="45"/>
  <c r="R63" i="45"/>
  <c r="R60" i="45"/>
  <c r="R55" i="45"/>
  <c r="R52" i="45"/>
  <c r="R47" i="45"/>
  <c r="R39" i="45"/>
  <c r="R35" i="45"/>
  <c r="R27" i="45"/>
  <c r="R19" i="45"/>
  <c r="R93" i="45"/>
  <c r="R86" i="45"/>
  <c r="R82" i="45"/>
  <c r="R46" i="45"/>
  <c r="R38" i="45"/>
  <c r="R34" i="45"/>
  <c r="R89" i="45"/>
  <c r="R81" i="45"/>
  <c r="R65" i="45"/>
  <c r="R62" i="45"/>
  <c r="R57" i="45"/>
  <c r="R54" i="45"/>
  <c r="R49" i="45"/>
  <c r="R45" i="45"/>
  <c r="R33" i="45"/>
  <c r="R26" i="45"/>
  <c r="R18" i="45"/>
  <c r="R97" i="45"/>
  <c r="R91" i="45"/>
  <c r="R88" i="45"/>
  <c r="R79" i="45"/>
  <c r="R75" i="45"/>
  <c r="R71" i="45"/>
  <c r="R67" i="45"/>
  <c r="R64" i="45"/>
  <c r="R59" i="45"/>
  <c r="R56" i="45"/>
  <c r="R51" i="45"/>
  <c r="R48" i="45"/>
  <c r="R43" i="45"/>
  <c r="R31" i="45"/>
  <c r="P23" i="45"/>
  <c r="R23" i="45" s="1"/>
  <c r="R76" i="45"/>
  <c r="R32" i="45"/>
  <c r="R80" i="45"/>
  <c r="R44" i="45"/>
  <c r="R37" i="45"/>
  <c r="R85" i="45"/>
  <c r="T62" i="60"/>
  <c r="H103" i="42"/>
  <c r="N23" i="42"/>
  <c r="D31" i="44"/>
  <c r="T27" i="29"/>
  <c r="Z18" i="29"/>
  <c r="L18" i="28"/>
  <c r="D27" i="28"/>
  <c r="Z18" i="35"/>
  <c r="T27" i="35"/>
  <c r="X27" i="35" s="1"/>
  <c r="D103" i="42"/>
  <c r="L23" i="42"/>
  <c r="H118" i="30"/>
  <c r="H86" i="27"/>
  <c r="H155" i="18"/>
  <c r="D71" i="33"/>
  <c r="L22" i="33"/>
  <c r="N22" i="33" s="1"/>
  <c r="H27" i="32"/>
  <c r="N18" i="32"/>
  <c r="L18" i="32"/>
  <c r="N27" i="29"/>
  <c r="H31" i="29"/>
  <c r="X18" i="16"/>
  <c r="P27" i="16"/>
  <c r="X18" i="20"/>
  <c r="P27" i="20"/>
  <c r="P31" i="35"/>
  <c r="R153" i="18"/>
  <c r="R141" i="18"/>
  <c r="R137" i="18"/>
  <c r="R133" i="18"/>
  <c r="R125" i="18"/>
  <c r="R121" i="18"/>
  <c r="R109" i="18"/>
  <c r="R106" i="18"/>
  <c r="R97" i="18"/>
  <c r="R94" i="18"/>
  <c r="R85" i="18"/>
  <c r="R82" i="18"/>
  <c r="R73" i="18"/>
  <c r="R61" i="18"/>
  <c r="R53" i="18"/>
  <c r="R45" i="18"/>
  <c r="R37" i="18"/>
  <c r="R29" i="18"/>
  <c r="R21" i="18"/>
  <c r="R150" i="18"/>
  <c r="R144" i="18"/>
  <c r="R140" i="18"/>
  <c r="R132" i="18"/>
  <c r="R128" i="18"/>
  <c r="R124" i="18"/>
  <c r="R120" i="18"/>
  <c r="R116" i="18"/>
  <c r="R100" i="18"/>
  <c r="R88" i="18"/>
  <c r="R72" i="18"/>
  <c r="R68" i="18"/>
  <c r="R60" i="18"/>
  <c r="R57" i="18"/>
  <c r="R52" i="18"/>
  <c r="R44" i="18"/>
  <c r="R36" i="18"/>
  <c r="R28" i="18"/>
  <c r="R147" i="18"/>
  <c r="R136" i="18"/>
  <c r="R131" i="18"/>
  <c r="R127" i="18"/>
  <c r="R123" i="18"/>
  <c r="R119" i="18"/>
  <c r="R115" i="18"/>
  <c r="R111" i="18"/>
  <c r="R108" i="18"/>
  <c r="R103" i="18"/>
  <c r="R99" i="18"/>
  <c r="R96" i="18"/>
  <c r="R91" i="18"/>
  <c r="R87" i="18"/>
  <c r="R84" i="18"/>
  <c r="R79" i="18"/>
  <c r="R71" i="18"/>
  <c r="R67" i="18"/>
  <c r="R59" i="18"/>
  <c r="R51" i="18"/>
  <c r="R43" i="18"/>
  <c r="R35" i="18"/>
  <c r="R27" i="18"/>
  <c r="R20" i="18"/>
  <c r="R152" i="18"/>
  <c r="R143" i="18"/>
  <c r="R139" i="18"/>
  <c r="R130" i="18"/>
  <c r="R118" i="18"/>
  <c r="R114" i="18"/>
  <c r="R102" i="18"/>
  <c r="R90" i="18"/>
  <c r="R78" i="18"/>
  <c r="R70" i="18"/>
  <c r="R66" i="18"/>
  <c r="R50" i="18"/>
  <c r="R42" i="18"/>
  <c r="R34" i="18"/>
  <c r="R26" i="18"/>
  <c r="R157" i="18"/>
  <c r="R149" i="18"/>
  <c r="R126" i="18"/>
  <c r="R122" i="18"/>
  <c r="R113" i="18"/>
  <c r="R110" i="18"/>
  <c r="R105" i="18"/>
  <c r="R98" i="18"/>
  <c r="R93" i="18"/>
  <c r="R86" i="18"/>
  <c r="R81" i="18"/>
  <c r="R77" i="18"/>
  <c r="R65" i="18"/>
  <c r="R58" i="18"/>
  <c r="R49" i="18"/>
  <c r="R41" i="18"/>
  <c r="R33" i="18"/>
  <c r="R25" i="18"/>
  <c r="R129" i="18"/>
  <c r="R117" i="18"/>
  <c r="R101" i="18"/>
  <c r="R89" i="18"/>
  <c r="R76" i="18"/>
  <c r="R69" i="18"/>
  <c r="R64" i="18"/>
  <c r="R55" i="18"/>
  <c r="R48" i="18"/>
  <c r="R40" i="18"/>
  <c r="R32" i="18"/>
  <c r="R24" i="18"/>
  <c r="X12" i="18"/>
  <c r="Z12" i="18" s="1"/>
  <c r="R148" i="18"/>
  <c r="R142" i="18"/>
  <c r="R138" i="18"/>
  <c r="R134" i="18"/>
  <c r="R74" i="18"/>
  <c r="R62" i="18"/>
  <c r="R46" i="18"/>
  <c r="R38" i="18"/>
  <c r="R30" i="18"/>
  <c r="R22" i="18"/>
  <c r="R151" i="18"/>
  <c r="R146" i="18"/>
  <c r="R107" i="18"/>
  <c r="R104" i="18"/>
  <c r="R80" i="18"/>
  <c r="R63" i="18"/>
  <c r="R83" i="18"/>
  <c r="R135" i="18"/>
  <c r="R112" i="18"/>
  <c r="R39" i="18"/>
  <c r="R95" i="18"/>
  <c r="R92" i="18"/>
  <c r="R75" i="18"/>
  <c r="P55" i="18"/>
  <c r="R23" i="18"/>
  <c r="R47" i="18"/>
  <c r="R31" i="18"/>
  <c r="T95" i="21"/>
  <c r="X18" i="19"/>
  <c r="F75" i="24"/>
  <c r="F71" i="24"/>
  <c r="F68" i="24"/>
  <c r="F74" i="24"/>
  <c r="F82" i="24"/>
  <c r="F76" i="24"/>
  <c r="F65" i="24"/>
  <c r="F62" i="24"/>
  <c r="F50" i="24"/>
  <c r="F42" i="24"/>
  <c r="F38" i="24"/>
  <c r="F22" i="24"/>
  <c r="F17" i="24"/>
  <c r="F56" i="24"/>
  <c r="F53" i="24"/>
  <c r="F49" i="24"/>
  <c r="F37" i="24"/>
  <c r="F32" i="24"/>
  <c r="F21" i="24"/>
  <c r="F78" i="24"/>
  <c r="F69" i="24"/>
  <c r="F64" i="24"/>
  <c r="F48" i="24"/>
  <c r="F36" i="24"/>
  <c r="F20" i="24"/>
  <c r="F58" i="24"/>
  <c r="F55" i="24"/>
  <c r="F47" i="24"/>
  <c r="F35" i="24"/>
  <c r="D29" i="24"/>
  <c r="F29" i="24" s="1"/>
  <c r="F27" i="24"/>
  <c r="F19" i="24"/>
  <c r="F72" i="24"/>
  <c r="F61" i="24"/>
  <c r="F46" i="24"/>
  <c r="F41" i="24"/>
  <c r="F34" i="24"/>
  <c r="F26" i="24"/>
  <c r="F18" i="24"/>
  <c r="L12" i="24"/>
  <c r="N12" i="24" s="1"/>
  <c r="F73" i="24"/>
  <c r="F67" i="24"/>
  <c r="F57" i="24"/>
  <c r="F52" i="24"/>
  <c r="F45" i="24"/>
  <c r="F33" i="24"/>
  <c r="F25" i="24"/>
  <c r="F70" i="24"/>
  <c r="F59" i="24"/>
  <c r="F54" i="24"/>
  <c r="F51" i="24"/>
  <c r="F43" i="24"/>
  <c r="F39" i="24"/>
  <c r="F23" i="24"/>
  <c r="F24" i="24"/>
  <c r="F63" i="24"/>
  <c r="F66" i="24"/>
  <c r="F60" i="24"/>
  <c r="F44" i="24"/>
  <c r="F40" i="24"/>
  <c r="F31" i="24"/>
  <c r="H27" i="5"/>
  <c r="N18" i="5"/>
  <c r="H27" i="8"/>
  <c r="N18" i="8"/>
  <c r="H156" i="12"/>
  <c r="P31" i="7"/>
  <c r="D27" i="4"/>
  <c r="L18" i="4"/>
  <c r="T31" i="10"/>
  <c r="Z27" i="10"/>
  <c r="H174" i="3"/>
  <c r="N18" i="11"/>
  <c r="H27" i="11"/>
  <c r="T174" i="3"/>
  <c r="D27" i="11"/>
  <c r="L18" i="11"/>
  <c r="D88" i="88"/>
  <c r="L23" i="88"/>
  <c r="N23" i="88" s="1"/>
  <c r="F80" i="89"/>
  <c r="F69" i="89"/>
  <c r="F41" i="89"/>
  <c r="F63" i="89"/>
  <c r="F60" i="89"/>
  <c r="F55" i="89"/>
  <c r="F52" i="89"/>
  <c r="F47" i="89"/>
  <c r="F82" i="89"/>
  <c r="F79" i="89"/>
  <c r="F78" i="89"/>
  <c r="F73" i="89"/>
  <c r="F65" i="89"/>
  <c r="F62" i="89"/>
  <c r="F57" i="89"/>
  <c r="F54" i="89"/>
  <c r="F49" i="89"/>
  <c r="F46" i="89"/>
  <c r="F38" i="89"/>
  <c r="F81" i="89"/>
  <c r="F77" i="89"/>
  <c r="F68" i="89"/>
  <c r="F45" i="89"/>
  <c r="F74" i="89"/>
  <c r="F70" i="89"/>
  <c r="F66" i="89"/>
  <c r="F61" i="89"/>
  <c r="F58" i="89"/>
  <c r="F53" i="89"/>
  <c r="F50" i="89"/>
  <c r="F42" i="89"/>
  <c r="F37" i="89"/>
  <c r="F30" i="89"/>
  <c r="F25" i="89"/>
  <c r="F17" i="89"/>
  <c r="F40" i="89"/>
  <c r="F29" i="89"/>
  <c r="F22" i="89"/>
  <c r="F67" i="89"/>
  <c r="F39" i="89"/>
  <c r="F28" i="89"/>
  <c r="D22" i="89"/>
  <c r="F20" i="89"/>
  <c r="F36" i="89"/>
  <c r="F35" i="89"/>
  <c r="F27" i="89"/>
  <c r="F19" i="89"/>
  <c r="F71" i="89"/>
  <c r="F64" i="89"/>
  <c r="F59" i="89"/>
  <c r="F51" i="89"/>
  <c r="F34" i="89"/>
  <c r="F26" i="89"/>
  <c r="F18" i="89"/>
  <c r="L12" i="89"/>
  <c r="N12" i="89" s="1"/>
  <c r="F83" i="89"/>
  <c r="F75" i="89"/>
  <c r="F72" i="89"/>
  <c r="F56" i="89"/>
  <c r="F48" i="89"/>
  <c r="F33" i="89"/>
  <c r="F24" i="89"/>
  <c r="F43" i="89"/>
  <c r="F85" i="89"/>
  <c r="F76" i="89"/>
  <c r="F31" i="89"/>
  <c r="F89" i="89"/>
  <c r="F32" i="89"/>
  <c r="F44" i="89"/>
  <c r="T88" i="88"/>
  <c r="V23" i="88"/>
  <c r="T85" i="87"/>
  <c r="T26" i="84"/>
  <c r="Z16" i="84"/>
  <c r="T50" i="83"/>
  <c r="Z16" i="83"/>
  <c r="T82" i="74"/>
  <c r="T32" i="76"/>
  <c r="R23" i="73"/>
  <c r="R21" i="73"/>
  <c r="P19" i="73"/>
  <c r="R27" i="73"/>
  <c r="R17" i="73"/>
  <c r="X12" i="73"/>
  <c r="Z12" i="73" s="1"/>
  <c r="R16" i="73"/>
  <c r="F80" i="74"/>
  <c r="F75" i="74"/>
  <c r="F71" i="74"/>
  <c r="F67" i="74"/>
  <c r="F63" i="74"/>
  <c r="F84" i="74"/>
  <c r="F78" i="74"/>
  <c r="F70" i="74"/>
  <c r="F66" i="74"/>
  <c r="F62" i="74"/>
  <c r="F57" i="74"/>
  <c r="F54" i="74"/>
  <c r="F42" i="74"/>
  <c r="F34" i="74"/>
  <c r="F30" i="74"/>
  <c r="F69" i="74"/>
  <c r="F65" i="74"/>
  <c r="F48" i="74"/>
  <c r="F45" i="74"/>
  <c r="F41" i="74"/>
  <c r="F29" i="74"/>
  <c r="F24" i="74"/>
  <c r="F59" i="74"/>
  <c r="F56" i="74"/>
  <c r="F40" i="74"/>
  <c r="F28" i="74"/>
  <c r="F74" i="74"/>
  <c r="F50" i="74"/>
  <c r="F47" i="74"/>
  <c r="F39" i="74"/>
  <c r="F27" i="74"/>
  <c r="D21" i="74"/>
  <c r="F19" i="74"/>
  <c r="F76" i="74"/>
  <c r="F72" i="74"/>
  <c r="F60" i="74"/>
  <c r="F55" i="74"/>
  <c r="F52" i="74"/>
  <c r="F36" i="74"/>
  <c r="F32" i="74"/>
  <c r="F23" i="74"/>
  <c r="F37" i="74"/>
  <c r="F33" i="74"/>
  <c r="F26" i="74"/>
  <c r="F18" i="74"/>
  <c r="F17" i="74"/>
  <c r="F68" i="74"/>
  <c r="F64" i="74"/>
  <c r="F53" i="74"/>
  <c r="F49" i="74"/>
  <c r="F43" i="74"/>
  <c r="F38" i="74"/>
  <c r="F61" i="74"/>
  <c r="F46" i="74"/>
  <c r="F44" i="74"/>
  <c r="F35" i="74"/>
  <c r="F31" i="74"/>
  <c r="F16" i="74"/>
  <c r="L12" i="74"/>
  <c r="N12" i="74" s="1"/>
  <c r="F73" i="74"/>
  <c r="F25" i="74"/>
  <c r="F51" i="74"/>
  <c r="F77" i="74"/>
  <c r="F58" i="74"/>
  <c r="T80" i="63"/>
  <c r="V29" i="63"/>
  <c r="D80" i="63"/>
  <c r="L29" i="63"/>
  <c r="P35" i="55"/>
  <c r="T27" i="41"/>
  <c r="X27" i="41" s="1"/>
  <c r="Z18" i="41"/>
  <c r="P64" i="61"/>
  <c r="L18" i="29"/>
  <c r="D27" i="29"/>
  <c r="X18" i="26"/>
  <c r="P27" i="26"/>
  <c r="T86" i="27"/>
  <c r="V30" i="27"/>
  <c r="P27" i="31"/>
  <c r="X18" i="31"/>
  <c r="H27" i="23"/>
  <c r="N18" i="23"/>
  <c r="T27" i="25"/>
  <c r="Z18" i="25"/>
  <c r="H27" i="17"/>
  <c r="N18" i="17"/>
  <c r="F104" i="36"/>
  <c r="F92" i="36"/>
  <c r="F87" i="36"/>
  <c r="F84" i="36"/>
  <c r="F79" i="36"/>
  <c r="F75" i="36"/>
  <c r="F72" i="36"/>
  <c r="F67" i="36"/>
  <c r="F64" i="36"/>
  <c r="F59" i="36"/>
  <c r="F44" i="36"/>
  <c r="F39" i="36"/>
  <c r="F32" i="36"/>
  <c r="L12" i="36"/>
  <c r="N12" i="36" s="1"/>
  <c r="F115" i="36"/>
  <c r="F110" i="36"/>
  <c r="F108" i="36"/>
  <c r="F98" i="36"/>
  <c r="F91" i="36"/>
  <c r="F83" i="36"/>
  <c r="F55" i="36"/>
  <c r="F50" i="36"/>
  <c r="F43" i="36"/>
  <c r="F31" i="36"/>
  <c r="D25" i="36"/>
  <c r="F23" i="36"/>
  <c r="F106" i="36"/>
  <c r="F101" i="36"/>
  <c r="F90" i="36"/>
  <c r="F86" i="36"/>
  <c r="F82" i="36"/>
  <c r="F97" i="36"/>
  <c r="F89" i="36"/>
  <c r="F81" i="36"/>
  <c r="F77" i="36"/>
  <c r="F57" i="36"/>
  <c r="F52" i="36"/>
  <c r="F49" i="36"/>
  <c r="F41" i="36"/>
  <c r="F37" i="36"/>
  <c r="F29" i="36"/>
  <c r="F21" i="36"/>
  <c r="F109" i="36"/>
  <c r="F103" i="36"/>
  <c r="F100" i="36"/>
  <c r="F96" i="36"/>
  <c r="F88" i="36"/>
  <c r="F80" i="36"/>
  <c r="F76" i="36"/>
  <c r="F71" i="36"/>
  <c r="F68" i="36"/>
  <c r="F63" i="36"/>
  <c r="F60" i="36"/>
  <c r="F48" i="36"/>
  <c r="F40" i="36"/>
  <c r="F36" i="36"/>
  <c r="F27" i="36"/>
  <c r="F99" i="36"/>
  <c r="F95" i="36"/>
  <c r="F54" i="36"/>
  <c r="F51" i="36"/>
  <c r="F47" i="36"/>
  <c r="F35" i="36"/>
  <c r="F93" i="36"/>
  <c r="F56" i="36"/>
  <c r="F53" i="36"/>
  <c r="F45" i="36"/>
  <c r="F33" i="36"/>
  <c r="F28" i="36"/>
  <c r="F69" i="36"/>
  <c r="F61" i="36"/>
  <c r="F42" i="36"/>
  <c r="F38" i="36"/>
  <c r="F30" i="36"/>
  <c r="F20" i="36"/>
  <c r="F102" i="36"/>
  <c r="F94" i="36"/>
  <c r="F46" i="36"/>
  <c r="F73" i="36"/>
  <c r="F65" i="36"/>
  <c r="F22" i="36"/>
  <c r="F78" i="36"/>
  <c r="F74" i="36"/>
  <c r="F66" i="36"/>
  <c r="F58" i="36"/>
  <c r="F34" i="36"/>
  <c r="F111" i="36"/>
  <c r="F85" i="36"/>
  <c r="F70" i="36"/>
  <c r="F62" i="36"/>
  <c r="F105" i="36"/>
  <c r="H88" i="21"/>
  <c r="J22" i="21"/>
  <c r="P31" i="23"/>
  <c r="L18" i="35"/>
  <c r="D27" i="35"/>
  <c r="T156" i="12"/>
  <c r="L18" i="10"/>
  <c r="D27" i="10"/>
  <c r="X18" i="5"/>
  <c r="P27" i="5"/>
  <c r="H95" i="9"/>
  <c r="N16" i="9"/>
  <c r="L20" i="90"/>
  <c r="D24" i="90"/>
  <c r="N27" i="92"/>
  <c r="H31" i="92"/>
  <c r="P74" i="91"/>
  <c r="X70" i="91"/>
  <c r="Z70" i="91" s="1"/>
  <c r="P24" i="90"/>
  <c r="X16" i="90"/>
  <c r="X18" i="94"/>
  <c r="F70" i="91"/>
  <c r="Z16" i="86"/>
  <c r="T57" i="86"/>
  <c r="H57" i="86"/>
  <c r="N16" i="86"/>
  <c r="H30" i="84"/>
  <c r="P26" i="84"/>
  <c r="X16" i="84"/>
  <c r="D34" i="85"/>
  <c r="R86" i="81"/>
  <c r="R74" i="81"/>
  <c r="R61" i="81"/>
  <c r="R58" i="81"/>
  <c r="R41" i="81"/>
  <c r="R80" i="81"/>
  <c r="R52" i="81"/>
  <c r="R49" i="81"/>
  <c r="R40" i="81"/>
  <c r="R83" i="81"/>
  <c r="R79" i="81"/>
  <c r="R71" i="81"/>
  <c r="R63" i="81"/>
  <c r="R60" i="81"/>
  <c r="R55" i="81"/>
  <c r="R39" i="81"/>
  <c r="R35" i="81"/>
  <c r="R94" i="81"/>
  <c r="R89" i="81"/>
  <c r="R82" i="81"/>
  <c r="R78" i="81"/>
  <c r="R70" i="81"/>
  <c r="R66" i="81"/>
  <c r="R54" i="81"/>
  <c r="R51" i="81"/>
  <c r="R46" i="81"/>
  <c r="R38" i="81"/>
  <c r="R34" i="81"/>
  <c r="R85" i="81"/>
  <c r="R77" i="81"/>
  <c r="R73" i="81"/>
  <c r="R69" i="81"/>
  <c r="R65" i="81"/>
  <c r="R62" i="81"/>
  <c r="R57" i="81"/>
  <c r="R45" i="81"/>
  <c r="R37" i="81"/>
  <c r="R81" i="81"/>
  <c r="R76" i="81"/>
  <c r="R68" i="81"/>
  <c r="R53" i="81"/>
  <c r="R28" i="81"/>
  <c r="R25" i="81"/>
  <c r="R20" i="81"/>
  <c r="X12" i="81"/>
  <c r="Z12" i="81" s="1"/>
  <c r="R47" i="81"/>
  <c r="R27" i="81"/>
  <c r="R19" i="81"/>
  <c r="R90" i="81"/>
  <c r="R50" i="81"/>
  <c r="R48" i="81"/>
  <c r="R42" i="81"/>
  <c r="R33" i="81"/>
  <c r="R26" i="81"/>
  <c r="R18" i="81"/>
  <c r="R43" i="81"/>
  <c r="R32" i="81"/>
  <c r="R75" i="81"/>
  <c r="R72" i="81"/>
  <c r="R59" i="81"/>
  <c r="R56" i="81"/>
  <c r="R31" i="81"/>
  <c r="P23" i="81"/>
  <c r="R30" i="81"/>
  <c r="R67" i="81"/>
  <c r="R64" i="81"/>
  <c r="R44" i="81"/>
  <c r="R84" i="81"/>
  <c r="R29" i="81"/>
  <c r="R36" i="81"/>
  <c r="R21" i="81"/>
  <c r="R87" i="81"/>
  <c r="L23" i="77"/>
  <c r="D88" i="77"/>
  <c r="V21" i="74"/>
  <c r="H88" i="77"/>
  <c r="N23" i="77"/>
  <c r="H78" i="70"/>
  <c r="J30" i="70"/>
  <c r="T25" i="73"/>
  <c r="P31" i="71"/>
  <c r="T26" i="66"/>
  <c r="Z16" i="66"/>
  <c r="L39" i="68"/>
  <c r="D106" i="68"/>
  <c r="T110" i="68"/>
  <c r="T93" i="65"/>
  <c r="V90" i="65"/>
  <c r="P30" i="66"/>
  <c r="X26" i="66"/>
  <c r="D86" i="65"/>
  <c r="L30" i="65"/>
  <c r="F30" i="65"/>
  <c r="F80" i="65"/>
  <c r="X18" i="52"/>
  <c r="P27" i="52"/>
  <c r="J23" i="45"/>
  <c r="T27" i="49"/>
  <c r="X27" i="49" s="1"/>
  <c r="Z18" i="49"/>
  <c r="H27" i="44"/>
  <c r="L27" i="44" s="1"/>
  <c r="N18" i="44"/>
  <c r="T99" i="45"/>
  <c r="V95" i="45"/>
  <c r="F76" i="51"/>
  <c r="F70" i="51"/>
  <c r="F51" i="51"/>
  <c r="F39" i="51"/>
  <c r="F23" i="51"/>
  <c r="F18" i="51"/>
  <c r="F66" i="51"/>
  <c r="F61" i="51"/>
  <c r="F58" i="51"/>
  <c r="F50" i="51"/>
  <c r="F38" i="51"/>
  <c r="F33" i="51"/>
  <c r="F22" i="51"/>
  <c r="F69" i="51"/>
  <c r="F49" i="51"/>
  <c r="F44" i="51"/>
  <c r="F37" i="51"/>
  <c r="F21" i="51"/>
  <c r="F80" i="51"/>
  <c r="F75" i="51"/>
  <c r="F73" i="51"/>
  <c r="F68" i="51"/>
  <c r="F63" i="51"/>
  <c r="F60" i="51"/>
  <c r="F55" i="51"/>
  <c r="F48" i="51"/>
  <c r="F36" i="51"/>
  <c r="D30" i="51"/>
  <c r="F30" i="51" s="1"/>
  <c r="F28" i="51"/>
  <c r="F20" i="51"/>
  <c r="L12" i="51"/>
  <c r="N12" i="51" s="1"/>
  <c r="F71" i="51"/>
  <c r="F47" i="51"/>
  <c r="F43" i="51"/>
  <c r="F35" i="51"/>
  <c r="F27" i="51"/>
  <c r="F19" i="51"/>
  <c r="F65" i="51"/>
  <c r="F62" i="51"/>
  <c r="F57" i="51"/>
  <c r="F54" i="51"/>
  <c r="F46" i="51"/>
  <c r="F42" i="51"/>
  <c r="F34" i="51"/>
  <c r="F26" i="51"/>
  <c r="F67" i="51"/>
  <c r="F64" i="51"/>
  <c r="F59" i="51"/>
  <c r="F56" i="51"/>
  <c r="F52" i="51"/>
  <c r="F40" i="51"/>
  <c r="F24" i="51"/>
  <c r="F53" i="51"/>
  <c r="F45" i="51"/>
  <c r="F32" i="51"/>
  <c r="F25" i="51"/>
  <c r="F74" i="51"/>
  <c r="F41" i="51"/>
  <c r="Z27" i="47"/>
  <c r="T31" i="47"/>
  <c r="P69" i="56"/>
  <c r="P103" i="42"/>
  <c r="X23" i="42"/>
  <c r="D31" i="47"/>
  <c r="N27" i="31"/>
  <c r="H31" i="31"/>
  <c r="L18" i="17"/>
  <c r="D27" i="17"/>
  <c r="T27" i="16"/>
  <c r="Z18" i="16"/>
  <c r="P27" i="25"/>
  <c r="X18" i="25"/>
  <c r="P27" i="29"/>
  <c r="X18" i="29"/>
  <c r="T155" i="18"/>
  <c r="V92" i="21"/>
  <c r="T27" i="14"/>
  <c r="X27" i="14" s="1"/>
  <c r="Z18" i="14"/>
  <c r="T27" i="13"/>
  <c r="Z18" i="13"/>
  <c r="D22" i="6"/>
  <c r="L16" i="6"/>
  <c r="T27" i="5"/>
  <c r="Z18" i="5"/>
  <c r="H27" i="13"/>
  <c r="N18" i="13"/>
  <c r="T27" i="7"/>
  <c r="X27" i="7" s="1"/>
  <c r="Z18" i="7"/>
  <c r="R152" i="12"/>
  <c r="R136" i="12"/>
  <c r="R129" i="12"/>
  <c r="R121" i="12"/>
  <c r="R112" i="12"/>
  <c r="R109" i="12"/>
  <c r="R104" i="12"/>
  <c r="R101" i="12"/>
  <c r="R92" i="12"/>
  <c r="R89" i="12"/>
  <c r="R80" i="12"/>
  <c r="R77" i="12"/>
  <c r="R72" i="12"/>
  <c r="R60" i="12"/>
  <c r="P52" i="12"/>
  <c r="R44" i="12"/>
  <c r="R36" i="12"/>
  <c r="R28" i="12"/>
  <c r="R21" i="12"/>
  <c r="R139" i="12"/>
  <c r="R135" i="12"/>
  <c r="R116" i="12"/>
  <c r="R71" i="12"/>
  <c r="R59" i="12"/>
  <c r="R43" i="12"/>
  <c r="R35" i="12"/>
  <c r="R27" i="12"/>
  <c r="R154" i="12"/>
  <c r="R149" i="12"/>
  <c r="R138" i="12"/>
  <c r="R134" i="12"/>
  <c r="R111" i="12"/>
  <c r="R106" i="12"/>
  <c r="R103" i="12"/>
  <c r="R94" i="12"/>
  <c r="R91" i="12"/>
  <c r="R82" i="12"/>
  <c r="R79" i="12"/>
  <c r="R70" i="12"/>
  <c r="R58" i="12"/>
  <c r="R50" i="12"/>
  <c r="R42" i="12"/>
  <c r="R34" i="12"/>
  <c r="R26" i="12"/>
  <c r="X12" i="12"/>
  <c r="Z12" i="12" s="1"/>
  <c r="R151" i="12"/>
  <c r="R145" i="12"/>
  <c r="R141" i="12"/>
  <c r="R133" i="12"/>
  <c r="R125" i="12"/>
  <c r="R97" i="12"/>
  <c r="R85" i="12"/>
  <c r="R69" i="12"/>
  <c r="R65" i="12"/>
  <c r="R57" i="12"/>
  <c r="R54" i="12"/>
  <c r="R49" i="12"/>
  <c r="R41" i="12"/>
  <c r="R33" i="12"/>
  <c r="R25" i="12"/>
  <c r="R144" i="12"/>
  <c r="R137" i="12"/>
  <c r="R132" i="12"/>
  <c r="R128" i="12"/>
  <c r="R124" i="12"/>
  <c r="R120" i="12"/>
  <c r="R108" i="12"/>
  <c r="R105" i="12"/>
  <c r="R100" i="12"/>
  <c r="R96" i="12"/>
  <c r="R93" i="12"/>
  <c r="R88" i="12"/>
  <c r="R84" i="12"/>
  <c r="R81" i="12"/>
  <c r="R76" i="12"/>
  <c r="R68" i="12"/>
  <c r="R64" i="12"/>
  <c r="R56" i="12"/>
  <c r="R48" i="12"/>
  <c r="R40" i="12"/>
  <c r="R32" i="12"/>
  <c r="R24" i="12"/>
  <c r="R153" i="12"/>
  <c r="R147" i="12"/>
  <c r="R143" i="12"/>
  <c r="R140" i="12"/>
  <c r="R131" i="12"/>
  <c r="R127" i="12"/>
  <c r="R123" i="12"/>
  <c r="R119" i="12"/>
  <c r="R115" i="12"/>
  <c r="R99" i="12"/>
  <c r="R87" i="12"/>
  <c r="R75" i="12"/>
  <c r="R67" i="12"/>
  <c r="R63" i="12"/>
  <c r="R47" i="12"/>
  <c r="R39" i="12"/>
  <c r="R31" i="12"/>
  <c r="R23" i="12"/>
  <c r="R158" i="12"/>
  <c r="R150" i="12"/>
  <c r="R130" i="12"/>
  <c r="R122" i="12"/>
  <c r="R118" i="12"/>
  <c r="R114" i="12"/>
  <c r="R110" i="12"/>
  <c r="R107" i="12"/>
  <c r="R102" i="12"/>
  <c r="R95" i="12"/>
  <c r="R90" i="12"/>
  <c r="R83" i="12"/>
  <c r="R78" i="12"/>
  <c r="R74" i="12"/>
  <c r="R62" i="12"/>
  <c r="R55" i="12"/>
  <c r="R46" i="12"/>
  <c r="R38" i="12"/>
  <c r="R30" i="12"/>
  <c r="R22" i="12"/>
  <c r="R117" i="12"/>
  <c r="R98" i="12"/>
  <c r="R61" i="12"/>
  <c r="R73" i="12"/>
  <c r="R52" i="12"/>
  <c r="R29" i="12"/>
  <c r="R66" i="12"/>
  <c r="R142" i="12"/>
  <c r="R113" i="12"/>
  <c r="R37" i="12"/>
  <c r="R146" i="12"/>
  <c r="R86" i="12"/>
  <c r="R126" i="12"/>
  <c r="R45" i="12"/>
  <c r="R181" i="3"/>
  <c r="R169" i="3"/>
  <c r="R164" i="3"/>
  <c r="R153" i="3"/>
  <c r="R149" i="3"/>
  <c r="R138" i="3"/>
  <c r="R133" i="3"/>
  <c r="R129" i="3"/>
  <c r="R125" i="3"/>
  <c r="R121" i="3"/>
  <c r="R118" i="3"/>
  <c r="R113" i="3"/>
  <c r="R110" i="3"/>
  <c r="R101" i="3"/>
  <c r="R98" i="3"/>
  <c r="R89" i="3"/>
  <c r="R86" i="3"/>
  <c r="R81" i="3"/>
  <c r="R69" i="3"/>
  <c r="P61" i="3"/>
  <c r="R53" i="3"/>
  <c r="R45" i="3"/>
  <c r="R37" i="3"/>
  <c r="R29" i="3"/>
  <c r="R166" i="3"/>
  <c r="R160" i="3"/>
  <c r="R156" i="3"/>
  <c r="R148" i="3"/>
  <c r="R141" i="3"/>
  <c r="R128" i="3"/>
  <c r="R124" i="3"/>
  <c r="R80" i="3"/>
  <c r="R68" i="3"/>
  <c r="R52" i="3"/>
  <c r="R44" i="3"/>
  <c r="R36" i="3"/>
  <c r="R28" i="3"/>
  <c r="R171" i="3"/>
  <c r="R159" i="3"/>
  <c r="R152" i="3"/>
  <c r="R147" i="3"/>
  <c r="R132" i="3"/>
  <c r="R123" i="3"/>
  <c r="R120" i="3"/>
  <c r="R115" i="3"/>
  <c r="R112" i="3"/>
  <c r="R103" i="3"/>
  <c r="R100" i="3"/>
  <c r="R91" i="3"/>
  <c r="R88" i="3"/>
  <c r="R79" i="3"/>
  <c r="R67" i="3"/>
  <c r="R59" i="3"/>
  <c r="R51" i="3"/>
  <c r="R43" i="3"/>
  <c r="R35" i="3"/>
  <c r="R27" i="3"/>
  <c r="R176" i="3"/>
  <c r="R168" i="3"/>
  <c r="R162" i="3"/>
  <c r="R158" i="3"/>
  <c r="R155" i="3"/>
  <c r="R146" i="3"/>
  <c r="R127" i="3"/>
  <c r="R106" i="3"/>
  <c r="R94" i="3"/>
  <c r="R78" i="3"/>
  <c r="R74" i="3"/>
  <c r="R66" i="3"/>
  <c r="R63" i="3"/>
  <c r="R58" i="3"/>
  <c r="R50" i="3"/>
  <c r="R42" i="3"/>
  <c r="R34" i="3"/>
  <c r="R26" i="3"/>
  <c r="R180" i="3"/>
  <c r="R165" i="3"/>
  <c r="R145" i="3"/>
  <c r="R137" i="3"/>
  <c r="R122" i="3"/>
  <c r="R117" i="3"/>
  <c r="R114" i="3"/>
  <c r="R109" i="3"/>
  <c r="R105" i="3"/>
  <c r="R102" i="3"/>
  <c r="R97" i="3"/>
  <c r="R93" i="3"/>
  <c r="R90" i="3"/>
  <c r="R85" i="3"/>
  <c r="R77" i="3"/>
  <c r="R73" i="3"/>
  <c r="R65" i="3"/>
  <c r="R57" i="3"/>
  <c r="R49" i="3"/>
  <c r="R41" i="3"/>
  <c r="R33" i="3"/>
  <c r="R25" i="3"/>
  <c r="R170" i="3"/>
  <c r="R161" i="3"/>
  <c r="R157" i="3"/>
  <c r="R144" i="3"/>
  <c r="R140" i="3"/>
  <c r="R136" i="3"/>
  <c r="R108" i="3"/>
  <c r="R96" i="3"/>
  <c r="R84" i="3"/>
  <c r="R76" i="3"/>
  <c r="R72" i="3"/>
  <c r="R56" i="3"/>
  <c r="R48" i="3"/>
  <c r="R40" i="3"/>
  <c r="R32" i="3"/>
  <c r="X12" i="3"/>
  <c r="Z12" i="3" s="1"/>
  <c r="R167" i="3"/>
  <c r="R151" i="3"/>
  <c r="R143" i="3"/>
  <c r="R139" i="3"/>
  <c r="R135" i="3"/>
  <c r="R131" i="3"/>
  <c r="R119" i="3"/>
  <c r="R116" i="3"/>
  <c r="R111" i="3"/>
  <c r="R104" i="3"/>
  <c r="R99" i="3"/>
  <c r="R92" i="3"/>
  <c r="R87" i="3"/>
  <c r="R83" i="3"/>
  <c r="R71" i="3"/>
  <c r="R64" i="3"/>
  <c r="R55" i="3"/>
  <c r="R47" i="3"/>
  <c r="R39" i="3"/>
  <c r="R31" i="3"/>
  <c r="R24" i="3"/>
  <c r="R172" i="3"/>
  <c r="R154" i="3"/>
  <c r="R150" i="3"/>
  <c r="R142" i="3"/>
  <c r="R134" i="3"/>
  <c r="R130" i="3"/>
  <c r="R126" i="3"/>
  <c r="R107" i="3"/>
  <c r="R95" i="3"/>
  <c r="R82" i="3"/>
  <c r="R75" i="3"/>
  <c r="R70" i="3"/>
  <c r="R61" i="3"/>
  <c r="R54" i="3"/>
  <c r="R46" i="3"/>
  <c r="R38" i="3"/>
  <c r="R30" i="3"/>
  <c r="P31" i="94"/>
  <c r="P85" i="87"/>
  <c r="X23" i="87"/>
  <c r="Z23" i="87" s="1"/>
  <c r="P88" i="88"/>
  <c r="X23" i="88"/>
  <c r="Z23" i="88" s="1"/>
  <c r="T86" i="82"/>
  <c r="H90" i="82"/>
  <c r="T92" i="81"/>
  <c r="T88" i="77"/>
  <c r="L16" i="78"/>
  <c r="P73" i="78"/>
  <c r="X16" i="78"/>
  <c r="P30" i="80"/>
  <c r="T86" i="75"/>
  <c r="H28" i="76"/>
  <c r="R73" i="69"/>
  <c r="R68" i="69"/>
  <c r="R40" i="69"/>
  <c r="R28" i="69"/>
  <c r="R20" i="69"/>
  <c r="R60" i="69"/>
  <c r="R51" i="69"/>
  <c r="R48" i="69"/>
  <c r="R39" i="69"/>
  <c r="R27" i="69"/>
  <c r="R24" i="69"/>
  <c r="R66" i="69"/>
  <c r="R65" i="69"/>
  <c r="R54" i="69"/>
  <c r="R38" i="69"/>
  <c r="R34" i="69"/>
  <c r="R26" i="69"/>
  <c r="R19" i="69"/>
  <c r="R69" i="69"/>
  <c r="R57" i="69"/>
  <c r="R53" i="69"/>
  <c r="R50" i="69"/>
  <c r="R45" i="69"/>
  <c r="R37" i="69"/>
  <c r="R33" i="69"/>
  <c r="R64" i="69"/>
  <c r="R56" i="69"/>
  <c r="R44" i="69"/>
  <c r="R36" i="69"/>
  <c r="R32" i="69"/>
  <c r="R25" i="69"/>
  <c r="R61" i="69"/>
  <c r="R58" i="69"/>
  <c r="R49" i="69"/>
  <c r="R46" i="69"/>
  <c r="R41" i="69"/>
  <c r="R29" i="69"/>
  <c r="R59" i="69"/>
  <c r="P22" i="69"/>
  <c r="R30" i="69"/>
  <c r="R31" i="69"/>
  <c r="X12" i="69"/>
  <c r="Z12" i="69" s="1"/>
  <c r="R35" i="69"/>
  <c r="R52" i="69"/>
  <c r="R55" i="69"/>
  <c r="R42" i="69"/>
  <c r="R22" i="69"/>
  <c r="R62" i="69"/>
  <c r="R43" i="69"/>
  <c r="R63" i="69"/>
  <c r="R47" i="69"/>
  <c r="H106" i="68"/>
  <c r="N39" i="68"/>
  <c r="L21" i="75"/>
  <c r="D86" i="75"/>
  <c r="L16" i="66"/>
  <c r="D26" i="66"/>
  <c r="F39" i="68"/>
  <c r="X16" i="66"/>
  <c r="P74" i="58"/>
  <c r="X16" i="58"/>
  <c r="Z16" i="56"/>
  <c r="T65" i="56"/>
  <c r="X65" i="56" s="1"/>
  <c r="T74" i="58"/>
  <c r="Z16" i="58"/>
  <c r="P62" i="60"/>
  <c r="X58" i="60"/>
  <c r="Z58" i="60" s="1"/>
  <c r="H58" i="60"/>
  <c r="N16" i="60"/>
  <c r="H31" i="55"/>
  <c r="N16" i="55"/>
  <c r="H61" i="61"/>
  <c r="D31" i="55"/>
  <c r="L16" i="55"/>
  <c r="D65" i="57"/>
  <c r="L16" i="57"/>
  <c r="Z16" i="55"/>
  <c r="T31" i="55"/>
  <c r="X31" i="55" s="1"/>
  <c r="T27" i="43"/>
  <c r="Z18" i="43"/>
  <c r="X18" i="43"/>
  <c r="P27" i="43"/>
  <c r="T113" i="36"/>
  <c r="H111" i="39"/>
  <c r="P31" i="40"/>
  <c r="T27" i="38"/>
  <c r="X27" i="38" s="1"/>
  <c r="Z18" i="38"/>
  <c r="X16" i="56"/>
  <c r="P85" i="51"/>
  <c r="H113" i="36"/>
  <c r="J25" i="36"/>
  <c r="L18" i="25"/>
  <c r="D27" i="25"/>
  <c r="L18" i="38"/>
  <c r="D27" i="38"/>
  <c r="H27" i="34"/>
  <c r="N18" i="34"/>
  <c r="L18" i="34"/>
  <c r="D27" i="34"/>
  <c r="F23" i="42"/>
  <c r="H27" i="37"/>
  <c r="N18" i="37"/>
  <c r="H27" i="28"/>
  <c r="N18" i="28"/>
  <c r="R83" i="27"/>
  <c r="R76" i="27"/>
  <c r="R51" i="27"/>
  <c r="R44" i="27"/>
  <c r="R39" i="27"/>
  <c r="R30" i="27"/>
  <c r="R23" i="27"/>
  <c r="R88" i="27"/>
  <c r="R70" i="27"/>
  <c r="R66" i="27"/>
  <c r="R63" i="27"/>
  <c r="R58" i="27"/>
  <c r="R55" i="27"/>
  <c r="R50" i="27"/>
  <c r="R38" i="27"/>
  <c r="P30" i="27"/>
  <c r="R22" i="27"/>
  <c r="R80" i="27"/>
  <c r="R69" i="27"/>
  <c r="R49" i="27"/>
  <c r="R37" i="27"/>
  <c r="R21" i="27"/>
  <c r="R82" i="27"/>
  <c r="R72" i="27"/>
  <c r="R68" i="27"/>
  <c r="R65" i="27"/>
  <c r="R60" i="27"/>
  <c r="R57" i="27"/>
  <c r="R48" i="27"/>
  <c r="R36" i="27"/>
  <c r="R28" i="27"/>
  <c r="R20" i="27"/>
  <c r="X12" i="27"/>
  <c r="Z12" i="27" s="1"/>
  <c r="R75" i="27"/>
  <c r="R47" i="27"/>
  <c r="R43" i="27"/>
  <c r="R35" i="27"/>
  <c r="R32" i="27"/>
  <c r="R27" i="27"/>
  <c r="R19" i="27"/>
  <c r="R84" i="27"/>
  <c r="R78" i="27"/>
  <c r="R74" i="27"/>
  <c r="R71" i="27"/>
  <c r="R67" i="27"/>
  <c r="R62" i="27"/>
  <c r="R59" i="27"/>
  <c r="R54" i="27"/>
  <c r="R46" i="27"/>
  <c r="R42" i="27"/>
  <c r="R34" i="27"/>
  <c r="R26" i="27"/>
  <c r="R73" i="27"/>
  <c r="R64" i="27"/>
  <c r="R61" i="27"/>
  <c r="R56" i="27"/>
  <c r="R52" i="27"/>
  <c r="R40" i="27"/>
  <c r="R33" i="27"/>
  <c r="R24" i="27"/>
  <c r="R77" i="27"/>
  <c r="R81" i="27"/>
  <c r="R53" i="27"/>
  <c r="R41" i="27"/>
  <c r="R18" i="27"/>
  <c r="R45" i="27"/>
  <c r="R25" i="27"/>
  <c r="H27" i="19"/>
  <c r="N18" i="19"/>
  <c r="D27" i="16"/>
  <c r="L18" i="16"/>
  <c r="R120" i="30"/>
  <c r="R108" i="30"/>
  <c r="R105" i="30"/>
  <c r="R97" i="30"/>
  <c r="R84" i="30"/>
  <c r="R81" i="30"/>
  <c r="R72" i="30"/>
  <c r="R69" i="30"/>
  <c r="R64" i="30"/>
  <c r="R60" i="30"/>
  <c r="R48" i="30"/>
  <c r="R32" i="30"/>
  <c r="R24" i="30"/>
  <c r="R111" i="30"/>
  <c r="R100" i="30"/>
  <c r="R75" i="30"/>
  <c r="R59" i="30"/>
  <c r="R52" i="30"/>
  <c r="R47" i="30"/>
  <c r="P39" i="30"/>
  <c r="R31" i="30"/>
  <c r="R23" i="30"/>
  <c r="R114" i="30"/>
  <c r="R107" i="30"/>
  <c r="R86" i="30"/>
  <c r="R83" i="30"/>
  <c r="R78" i="30"/>
  <c r="R74" i="30"/>
  <c r="R71" i="30"/>
  <c r="R66" i="30"/>
  <c r="R63" i="30"/>
  <c r="R58" i="30"/>
  <c r="R46" i="30"/>
  <c r="R30" i="30"/>
  <c r="R22" i="30"/>
  <c r="R110" i="30"/>
  <c r="R93" i="30"/>
  <c r="R89" i="30"/>
  <c r="R77" i="30"/>
  <c r="R57" i="30"/>
  <c r="R45" i="30"/>
  <c r="R37" i="30"/>
  <c r="R29" i="30"/>
  <c r="R21" i="30"/>
  <c r="R116" i="30"/>
  <c r="R104" i="30"/>
  <c r="R96" i="30"/>
  <c r="R92" i="30"/>
  <c r="R88" i="30"/>
  <c r="R85" i="30"/>
  <c r="R80" i="30"/>
  <c r="R73" i="30"/>
  <c r="R68" i="30"/>
  <c r="R65" i="30"/>
  <c r="R56" i="30"/>
  <c r="R44" i="30"/>
  <c r="R41" i="30"/>
  <c r="R36" i="30"/>
  <c r="R28" i="30"/>
  <c r="R20" i="30"/>
  <c r="X12" i="30"/>
  <c r="Z12" i="30" s="1"/>
  <c r="R103" i="30"/>
  <c r="R99" i="30"/>
  <c r="R95" i="30"/>
  <c r="R91" i="30"/>
  <c r="R76" i="30"/>
  <c r="R55" i="30"/>
  <c r="R51" i="30"/>
  <c r="R43" i="30"/>
  <c r="R35" i="30"/>
  <c r="R27" i="30"/>
  <c r="R19" i="30"/>
  <c r="R115" i="30"/>
  <c r="R109" i="30"/>
  <c r="R101" i="30"/>
  <c r="R94" i="30"/>
  <c r="R90" i="30"/>
  <c r="R61" i="30"/>
  <c r="R53" i="30"/>
  <c r="R49" i="30"/>
  <c r="R42" i="30"/>
  <c r="R33" i="30"/>
  <c r="R25" i="30"/>
  <c r="R18" i="30"/>
  <c r="R113" i="30"/>
  <c r="R67" i="30"/>
  <c r="R54" i="30"/>
  <c r="R26" i="30"/>
  <c r="R82" i="30"/>
  <c r="R79" i="30"/>
  <c r="R98" i="30"/>
  <c r="R87" i="30"/>
  <c r="R34" i="30"/>
  <c r="R102" i="30"/>
  <c r="R50" i="30"/>
  <c r="R106" i="30"/>
  <c r="R62" i="30"/>
  <c r="R70" i="30"/>
  <c r="H87" i="24"/>
  <c r="H147" i="15"/>
  <c r="F86" i="21"/>
  <c r="F73" i="21"/>
  <c r="F69" i="21"/>
  <c r="F52" i="21"/>
  <c r="F49" i="21"/>
  <c r="F41" i="21"/>
  <c r="F29" i="21"/>
  <c r="F90" i="21"/>
  <c r="F84" i="21"/>
  <c r="F63" i="21"/>
  <c r="F60" i="21"/>
  <c r="F55" i="21"/>
  <c r="F40" i="21"/>
  <c r="F35" i="21"/>
  <c r="F28" i="21"/>
  <c r="D22" i="21"/>
  <c r="F20" i="21"/>
  <c r="F78" i="21"/>
  <c r="F66" i="21"/>
  <c r="F51" i="21"/>
  <c r="F46" i="21"/>
  <c r="F39" i="21"/>
  <c r="F27" i="21"/>
  <c r="F19" i="21"/>
  <c r="F81" i="21"/>
  <c r="F62" i="21"/>
  <c r="F57" i="21"/>
  <c r="F54" i="21"/>
  <c r="F38" i="21"/>
  <c r="F34" i="21"/>
  <c r="F26" i="21"/>
  <c r="F18" i="21"/>
  <c r="L12" i="21"/>
  <c r="N12" i="21" s="1"/>
  <c r="F77" i="21"/>
  <c r="F72" i="21"/>
  <c r="F68" i="21"/>
  <c r="F65" i="21"/>
  <c r="F53" i="21"/>
  <c r="F48" i="21"/>
  <c r="F45" i="21"/>
  <c r="F37" i="21"/>
  <c r="F33" i="21"/>
  <c r="F24" i="21"/>
  <c r="F83" i="21"/>
  <c r="F80" i="21"/>
  <c r="F76" i="21"/>
  <c r="F64" i="21"/>
  <c r="F59" i="21"/>
  <c r="F56" i="21"/>
  <c r="F44" i="21"/>
  <c r="F36" i="21"/>
  <c r="F32" i="21"/>
  <c r="F82" i="21"/>
  <c r="F74" i="21"/>
  <c r="F70" i="21"/>
  <c r="F61" i="21"/>
  <c r="F58" i="21"/>
  <c r="F42" i="21"/>
  <c r="F30" i="21"/>
  <c r="F25" i="21"/>
  <c r="F17" i="21"/>
  <c r="F31" i="21"/>
  <c r="F79" i="21"/>
  <c r="F50" i="21"/>
  <c r="F67" i="21"/>
  <c r="F71" i="21"/>
  <c r="F43" i="21"/>
  <c r="F75" i="21"/>
  <c r="F47" i="21"/>
  <c r="R135" i="15"/>
  <c r="R131" i="15"/>
  <c r="R127" i="15"/>
  <c r="R119" i="15"/>
  <c r="R115" i="15"/>
  <c r="R103" i="15"/>
  <c r="R100" i="15"/>
  <c r="R144" i="15"/>
  <c r="R138" i="15"/>
  <c r="R134" i="15"/>
  <c r="R126" i="15"/>
  <c r="R122" i="15"/>
  <c r="R118" i="15"/>
  <c r="R114" i="15"/>
  <c r="R110" i="15"/>
  <c r="R149" i="15"/>
  <c r="R141" i="15"/>
  <c r="R130" i="15"/>
  <c r="R137" i="15"/>
  <c r="R133" i="15"/>
  <c r="R124" i="15"/>
  <c r="R112" i="15"/>
  <c r="R108" i="15"/>
  <c r="R143" i="15"/>
  <c r="R120" i="15"/>
  <c r="R116" i="15"/>
  <c r="R107" i="15"/>
  <c r="R104" i="15"/>
  <c r="R99" i="15"/>
  <c r="R123" i="15"/>
  <c r="R111" i="15"/>
  <c r="R142" i="15"/>
  <c r="R136" i="15"/>
  <c r="R132" i="15"/>
  <c r="R128" i="15"/>
  <c r="R125" i="15"/>
  <c r="R121" i="15"/>
  <c r="R113" i="15"/>
  <c r="R95" i="15"/>
  <c r="R83" i="15"/>
  <c r="R70" i="15"/>
  <c r="R63" i="15"/>
  <c r="R58" i="15"/>
  <c r="R42" i="15"/>
  <c r="R34" i="15"/>
  <c r="R26" i="15"/>
  <c r="R117" i="15"/>
  <c r="R89" i="15"/>
  <c r="R86" i="15"/>
  <c r="R77" i="15"/>
  <c r="R74" i="15"/>
  <c r="R69" i="15"/>
  <c r="R57" i="15"/>
  <c r="P49" i="15"/>
  <c r="R68" i="15"/>
  <c r="R56" i="15"/>
  <c r="R40" i="15"/>
  <c r="R32" i="15"/>
  <c r="R24" i="15"/>
  <c r="X12" i="15"/>
  <c r="Z12" i="15" s="1"/>
  <c r="R145" i="15"/>
  <c r="R91" i="15"/>
  <c r="R88" i="15"/>
  <c r="R79" i="15"/>
  <c r="R76" i="15"/>
  <c r="R67" i="15"/>
  <c r="R55" i="15"/>
  <c r="R47" i="15"/>
  <c r="R39" i="15"/>
  <c r="R31" i="15"/>
  <c r="R129" i="15"/>
  <c r="R102" i="15"/>
  <c r="R98" i="15"/>
  <c r="R94" i="15"/>
  <c r="R82" i="15"/>
  <c r="R66" i="15"/>
  <c r="R62" i="15"/>
  <c r="R54" i="15"/>
  <c r="R51" i="15"/>
  <c r="R46" i="15"/>
  <c r="R38" i="15"/>
  <c r="R30" i="15"/>
  <c r="R22" i="15"/>
  <c r="R140" i="15"/>
  <c r="R101" i="15"/>
  <c r="R93" i="15"/>
  <c r="R90" i="15"/>
  <c r="R85" i="15"/>
  <c r="R81" i="15"/>
  <c r="R78" i="15"/>
  <c r="R73" i="15"/>
  <c r="R65" i="15"/>
  <c r="R61" i="15"/>
  <c r="R53" i="15"/>
  <c r="R45" i="15"/>
  <c r="R37" i="15"/>
  <c r="R29" i="15"/>
  <c r="R97" i="15"/>
  <c r="R96" i="15"/>
  <c r="R84" i="15"/>
  <c r="R72" i="15"/>
  <c r="R64" i="15"/>
  <c r="R60" i="15"/>
  <c r="R44" i="15"/>
  <c r="R36" i="15"/>
  <c r="R28" i="15"/>
  <c r="R109" i="15"/>
  <c r="R106" i="15"/>
  <c r="R105" i="15"/>
  <c r="R92" i="15"/>
  <c r="R87" i="15"/>
  <c r="R80" i="15"/>
  <c r="R75" i="15"/>
  <c r="R71" i="15"/>
  <c r="R59" i="15"/>
  <c r="R52" i="15"/>
  <c r="R43" i="15"/>
  <c r="R35" i="15"/>
  <c r="R27" i="15"/>
  <c r="R20" i="15"/>
  <c r="R25" i="15"/>
  <c r="R21" i="15"/>
  <c r="R33" i="15"/>
  <c r="R23" i="15"/>
  <c r="R41" i="15"/>
  <c r="V52" i="12"/>
  <c r="L18" i="13"/>
  <c r="D27" i="13"/>
  <c r="T27" i="11"/>
  <c r="Z18" i="11"/>
  <c r="L18" i="5"/>
  <c r="D27" i="5"/>
  <c r="L18" i="7"/>
  <c r="D27" i="7"/>
  <c r="P31" i="14"/>
  <c r="T26" i="6"/>
  <c r="Z22" i="6"/>
  <c r="R67" i="91"/>
  <c r="F23" i="88"/>
  <c r="V23" i="87"/>
  <c r="Z17" i="85"/>
  <c r="T27" i="85"/>
  <c r="D85" i="87"/>
  <c r="L23" i="87"/>
  <c r="N23" i="87" s="1"/>
  <c r="D86" i="82"/>
  <c r="L20" i="82"/>
  <c r="N20" i="82" s="1"/>
  <c r="H92" i="81"/>
  <c r="Z16" i="79"/>
  <c r="T28" i="79"/>
  <c r="X28" i="79" s="1"/>
  <c r="H26" i="80"/>
  <c r="N16" i="80"/>
  <c r="T77" i="78"/>
  <c r="R75" i="75"/>
  <c r="R71" i="75"/>
  <c r="R67" i="75"/>
  <c r="R39" i="75"/>
  <c r="R27" i="75"/>
  <c r="R19" i="75"/>
  <c r="R74" i="75"/>
  <c r="R70" i="75"/>
  <c r="R63" i="75"/>
  <c r="R58" i="75"/>
  <c r="R55" i="75"/>
  <c r="R50" i="75"/>
  <c r="R47" i="75"/>
  <c r="R38" i="75"/>
  <c r="R26" i="75"/>
  <c r="R23" i="75"/>
  <c r="R18" i="75"/>
  <c r="X12" i="75"/>
  <c r="Z12" i="75" s="1"/>
  <c r="R84" i="75"/>
  <c r="R77" i="75"/>
  <c r="R73" i="75"/>
  <c r="R66" i="75"/>
  <c r="R37" i="75"/>
  <c r="R33" i="75"/>
  <c r="R25" i="75"/>
  <c r="R80" i="75"/>
  <c r="R69" i="75"/>
  <c r="R60" i="75"/>
  <c r="R57" i="75"/>
  <c r="R52" i="75"/>
  <c r="R49" i="75"/>
  <c r="R44" i="75"/>
  <c r="R36" i="75"/>
  <c r="R32" i="75"/>
  <c r="R17" i="75"/>
  <c r="R79" i="75"/>
  <c r="R76" i="75"/>
  <c r="R72" i="75"/>
  <c r="R43" i="75"/>
  <c r="R35" i="75"/>
  <c r="R31" i="75"/>
  <c r="R24" i="75"/>
  <c r="R81" i="75"/>
  <c r="R68" i="75"/>
  <c r="R64" i="75"/>
  <c r="R61" i="75"/>
  <c r="R56" i="75"/>
  <c r="R53" i="75"/>
  <c r="R48" i="75"/>
  <c r="R45" i="75"/>
  <c r="R40" i="75"/>
  <c r="R28" i="75"/>
  <c r="R62" i="75"/>
  <c r="R41" i="75"/>
  <c r="R59" i="75"/>
  <c r="R46" i="75"/>
  <c r="R42" i="75"/>
  <c r="R78" i="75"/>
  <c r="R29" i="75"/>
  <c r="P21" i="75"/>
  <c r="R34" i="75"/>
  <c r="R51" i="75"/>
  <c r="R82" i="75"/>
  <c r="R54" i="75"/>
  <c r="R65" i="75"/>
  <c r="R30" i="75"/>
  <c r="R88" i="75"/>
  <c r="T27" i="71"/>
  <c r="X27" i="71" s="1"/>
  <c r="Z18" i="71"/>
  <c r="T78" i="70"/>
  <c r="H86" i="65"/>
  <c r="N30" i="65"/>
  <c r="J30" i="65"/>
  <c r="R83" i="65"/>
  <c r="R76" i="65"/>
  <c r="R51" i="65"/>
  <c r="R44" i="65"/>
  <c r="R39" i="65"/>
  <c r="R23" i="65"/>
  <c r="R70" i="65"/>
  <c r="R66" i="65"/>
  <c r="R63" i="65"/>
  <c r="R58" i="65"/>
  <c r="R55" i="65"/>
  <c r="R50" i="65"/>
  <c r="R38" i="65"/>
  <c r="P30" i="65"/>
  <c r="R22" i="65"/>
  <c r="R80" i="65"/>
  <c r="R69" i="65"/>
  <c r="R49" i="65"/>
  <c r="R37" i="65"/>
  <c r="R21" i="65"/>
  <c r="R82" i="65"/>
  <c r="R72" i="65"/>
  <c r="R68" i="65"/>
  <c r="R65" i="65"/>
  <c r="R60" i="65"/>
  <c r="R57" i="65"/>
  <c r="R48" i="65"/>
  <c r="R36" i="65"/>
  <c r="R28" i="65"/>
  <c r="R20" i="65"/>
  <c r="X12" i="65"/>
  <c r="Z12" i="65" s="1"/>
  <c r="R84" i="65"/>
  <c r="R78" i="65"/>
  <c r="R74" i="65"/>
  <c r="R71" i="65"/>
  <c r="R67" i="65"/>
  <c r="R62" i="65"/>
  <c r="R59" i="65"/>
  <c r="R54" i="65"/>
  <c r="R46" i="65"/>
  <c r="R42" i="65"/>
  <c r="R34" i="65"/>
  <c r="R26" i="65"/>
  <c r="R27" i="65"/>
  <c r="R53" i="65"/>
  <c r="R88" i="65"/>
  <c r="R75" i="65"/>
  <c r="R61" i="65"/>
  <c r="R45" i="65"/>
  <c r="R40" i="65"/>
  <c r="R32" i="65"/>
  <c r="R18" i="65"/>
  <c r="R81" i="65"/>
  <c r="R41" i="65"/>
  <c r="R24" i="65"/>
  <c r="R64" i="65"/>
  <c r="R77" i="65"/>
  <c r="R33" i="65"/>
  <c r="R19" i="65"/>
  <c r="R56" i="65"/>
  <c r="R52" i="65"/>
  <c r="R47" i="65"/>
  <c r="R43" i="65"/>
  <c r="R35" i="65"/>
  <c r="R25" i="65"/>
  <c r="R73" i="65"/>
  <c r="D22" i="54"/>
  <c r="L16" i="54"/>
  <c r="H33" i="64"/>
  <c r="N29" i="64"/>
  <c r="D65" i="56"/>
  <c r="L16" i="56"/>
  <c r="Z16" i="61"/>
  <c r="T57" i="61"/>
  <c r="X16" i="61"/>
  <c r="H64" i="59"/>
  <c r="X18" i="46"/>
  <c r="P27" i="46"/>
  <c r="X16" i="54"/>
  <c r="P22" i="54"/>
  <c r="H65" i="56"/>
  <c r="N16" i="56"/>
  <c r="T27" i="50"/>
  <c r="Z18" i="50"/>
  <c r="P60" i="59"/>
  <c r="X16" i="59"/>
  <c r="N22" i="54"/>
  <c r="H26" i="54"/>
  <c r="T27" i="52"/>
  <c r="Z18" i="52"/>
  <c r="L18" i="43"/>
  <c r="D27" i="43"/>
  <c r="P77" i="48"/>
  <c r="P31" i="49"/>
  <c r="T107" i="39"/>
  <c r="L18" i="49"/>
  <c r="D27" i="49"/>
  <c r="P31" i="38"/>
  <c r="R99" i="39"/>
  <c r="R86" i="39"/>
  <c r="R82" i="39"/>
  <c r="R78" i="39"/>
  <c r="R74" i="39"/>
  <c r="R70" i="39"/>
  <c r="R67" i="39"/>
  <c r="R62" i="39"/>
  <c r="R59" i="39"/>
  <c r="R42" i="39"/>
  <c r="R30" i="39"/>
  <c r="R22" i="39"/>
  <c r="X12" i="39"/>
  <c r="Z12" i="39" s="1"/>
  <c r="R105" i="39"/>
  <c r="R93" i="39"/>
  <c r="R85" i="39"/>
  <c r="R77" i="39"/>
  <c r="R53" i="39"/>
  <c r="R50" i="39"/>
  <c r="R41" i="39"/>
  <c r="R29" i="39"/>
  <c r="R26" i="39"/>
  <c r="R21" i="39"/>
  <c r="R96" i="39"/>
  <c r="R92" i="39"/>
  <c r="R84" i="39"/>
  <c r="R81" i="39"/>
  <c r="R76" i="39"/>
  <c r="R73" i="39"/>
  <c r="R69" i="39"/>
  <c r="R64" i="39"/>
  <c r="R61" i="39"/>
  <c r="R56" i="39"/>
  <c r="R40" i="39"/>
  <c r="R36" i="39"/>
  <c r="R28" i="39"/>
  <c r="R20" i="39"/>
  <c r="R102" i="39"/>
  <c r="R95" i="39"/>
  <c r="R91" i="39"/>
  <c r="R55" i="39"/>
  <c r="R52" i="39"/>
  <c r="R47" i="39"/>
  <c r="R39" i="39"/>
  <c r="R35" i="39"/>
  <c r="R104" i="39"/>
  <c r="R98" i="39"/>
  <c r="R90" i="39"/>
  <c r="R83" i="39"/>
  <c r="R75" i="39"/>
  <c r="R66" i="39"/>
  <c r="R63" i="39"/>
  <c r="R58" i="39"/>
  <c r="R46" i="39"/>
  <c r="R38" i="39"/>
  <c r="R34" i="39"/>
  <c r="R27" i="39"/>
  <c r="R19" i="39"/>
  <c r="R109" i="39"/>
  <c r="R94" i="39"/>
  <c r="R89" i="39"/>
  <c r="R54" i="39"/>
  <c r="R49" i="39"/>
  <c r="R45" i="39"/>
  <c r="R33" i="39"/>
  <c r="R103" i="39"/>
  <c r="R87" i="39"/>
  <c r="R79" i="39"/>
  <c r="R71" i="39"/>
  <c r="R51" i="39"/>
  <c r="R48" i="39"/>
  <c r="R43" i="39"/>
  <c r="R31" i="39"/>
  <c r="R72" i="39"/>
  <c r="R68" i="39"/>
  <c r="R65" i="39"/>
  <c r="R88" i="39"/>
  <c r="P24" i="39"/>
  <c r="R97" i="39"/>
  <c r="R60" i="39"/>
  <c r="R57" i="39"/>
  <c r="R100" i="39"/>
  <c r="R32" i="39"/>
  <c r="R80" i="39"/>
  <c r="R44" i="39"/>
  <c r="R37" i="39"/>
  <c r="H27" i="26"/>
  <c r="N18" i="26"/>
  <c r="R82" i="24"/>
  <c r="R76" i="24"/>
  <c r="R72" i="24"/>
  <c r="R69" i="24"/>
  <c r="R75" i="24"/>
  <c r="R73" i="24"/>
  <c r="R71" i="24"/>
  <c r="R68" i="24"/>
  <c r="R67" i="24"/>
  <c r="R63" i="24"/>
  <c r="R46" i="24"/>
  <c r="R34" i="24"/>
  <c r="R31" i="24"/>
  <c r="R26" i="24"/>
  <c r="R18" i="24"/>
  <c r="X12" i="24"/>
  <c r="Z12" i="24" s="1"/>
  <c r="R57" i="24"/>
  <c r="R54" i="24"/>
  <c r="R45" i="24"/>
  <c r="R33" i="24"/>
  <c r="R25" i="24"/>
  <c r="R66" i="24"/>
  <c r="R60" i="24"/>
  <c r="R44" i="24"/>
  <c r="R40" i="24"/>
  <c r="R24" i="24"/>
  <c r="R17" i="24"/>
  <c r="R70" i="24"/>
  <c r="R65" i="24"/>
  <c r="R59" i="24"/>
  <c r="R56" i="24"/>
  <c r="R51" i="24"/>
  <c r="R43" i="24"/>
  <c r="R39" i="24"/>
  <c r="R32" i="24"/>
  <c r="R23" i="24"/>
  <c r="R62" i="24"/>
  <c r="R50" i="24"/>
  <c r="R42" i="24"/>
  <c r="R38" i="24"/>
  <c r="R22" i="24"/>
  <c r="R74" i="24"/>
  <c r="R58" i="24"/>
  <c r="R53" i="24"/>
  <c r="R49" i="24"/>
  <c r="R37" i="24"/>
  <c r="P29" i="24"/>
  <c r="R29" i="24" s="1"/>
  <c r="R21" i="24"/>
  <c r="R78" i="24"/>
  <c r="R55" i="24"/>
  <c r="R52" i="24"/>
  <c r="R47" i="24"/>
  <c r="R35" i="24"/>
  <c r="R27" i="24"/>
  <c r="R19" i="24"/>
  <c r="R64" i="24"/>
  <c r="R36" i="24"/>
  <c r="R61" i="24"/>
  <c r="R41" i="24"/>
  <c r="R20" i="24"/>
  <c r="R48" i="24"/>
  <c r="P88" i="21"/>
  <c r="X22" i="21"/>
  <c r="Z22" i="21" s="1"/>
  <c r="T27" i="23"/>
  <c r="Z18" i="23"/>
  <c r="X18" i="22"/>
  <c r="P27" i="22"/>
  <c r="L18" i="23"/>
  <c r="D27" i="23"/>
  <c r="T36" i="20"/>
  <c r="Z36" i="20" s="1"/>
  <c r="Z31" i="20"/>
  <c r="H27" i="14"/>
  <c r="N18" i="14"/>
  <c r="F130" i="15"/>
  <c r="F107" i="15"/>
  <c r="F102" i="15"/>
  <c r="F99" i="15"/>
  <c r="F143" i="15"/>
  <c r="F137" i="15"/>
  <c r="F133" i="15"/>
  <c r="F145" i="15"/>
  <c r="F136" i="15"/>
  <c r="F132" i="15"/>
  <c r="F128" i="15"/>
  <c r="F123" i="15"/>
  <c r="F111" i="15"/>
  <c r="F142" i="15"/>
  <c r="F140" i="15"/>
  <c r="F135" i="15"/>
  <c r="F131" i="15"/>
  <c r="F127" i="15"/>
  <c r="F119" i="15"/>
  <c r="F115" i="15"/>
  <c r="F106" i="15"/>
  <c r="F103" i="15"/>
  <c r="F98" i="15"/>
  <c r="F138" i="15"/>
  <c r="F134" i="15"/>
  <c r="F126" i="15"/>
  <c r="F122" i="15"/>
  <c r="F118" i="15"/>
  <c r="F114" i="15"/>
  <c r="F110" i="15"/>
  <c r="F141" i="15"/>
  <c r="F124" i="15"/>
  <c r="F112" i="15"/>
  <c r="F108" i="15"/>
  <c r="F101" i="15"/>
  <c r="F100" i="15"/>
  <c r="F94" i="15"/>
  <c r="F82" i="15"/>
  <c r="F66" i="15"/>
  <c r="F62" i="15"/>
  <c r="F54" i="15"/>
  <c r="F46" i="15"/>
  <c r="F38" i="15"/>
  <c r="F30" i="15"/>
  <c r="F22" i="15"/>
  <c r="F109" i="15"/>
  <c r="F93" i="15"/>
  <c r="F88" i="15"/>
  <c r="F85" i="15"/>
  <c r="F81" i="15"/>
  <c r="F76" i="15"/>
  <c r="F73" i="15"/>
  <c r="F65" i="15"/>
  <c r="F61" i="15"/>
  <c r="F53" i="15"/>
  <c r="F45" i="15"/>
  <c r="F120" i="15"/>
  <c r="F105" i="15"/>
  <c r="F104" i="15"/>
  <c r="F97" i="15"/>
  <c r="F96" i="15"/>
  <c r="F84" i="15"/>
  <c r="F72" i="15"/>
  <c r="F64" i="15"/>
  <c r="F60" i="15"/>
  <c r="F51" i="15"/>
  <c r="F44" i="15"/>
  <c r="F36" i="15"/>
  <c r="F28" i="15"/>
  <c r="F125" i="15"/>
  <c r="F121" i="15"/>
  <c r="F116" i="15"/>
  <c r="F113" i="15"/>
  <c r="F90" i="15"/>
  <c r="F87" i="15"/>
  <c r="F78" i="15"/>
  <c r="F75" i="15"/>
  <c r="F71" i="15"/>
  <c r="F59" i="15"/>
  <c r="F43" i="15"/>
  <c r="F35" i="15"/>
  <c r="F144" i="15"/>
  <c r="F117" i="15"/>
  <c r="F70" i="15"/>
  <c r="F58" i="15"/>
  <c r="F42" i="15"/>
  <c r="F34" i="15"/>
  <c r="F26" i="15"/>
  <c r="F92" i="15"/>
  <c r="F89" i="15"/>
  <c r="F80" i="15"/>
  <c r="F77" i="15"/>
  <c r="F69" i="15"/>
  <c r="F57" i="15"/>
  <c r="F52" i="15"/>
  <c r="F41" i="15"/>
  <c r="F33" i="15"/>
  <c r="F25" i="15"/>
  <c r="F129" i="15"/>
  <c r="F95" i="15"/>
  <c r="F83" i="15"/>
  <c r="F68" i="15"/>
  <c r="F63" i="15"/>
  <c r="F56" i="15"/>
  <c r="F40" i="15"/>
  <c r="F32" i="15"/>
  <c r="F24" i="15"/>
  <c r="L12" i="15"/>
  <c r="N12" i="15" s="1"/>
  <c r="F149" i="15"/>
  <c r="F91" i="15"/>
  <c r="F86" i="15"/>
  <c r="F79" i="15"/>
  <c r="F74" i="15"/>
  <c r="F67" i="15"/>
  <c r="F55" i="15"/>
  <c r="D49" i="15"/>
  <c r="F47" i="15"/>
  <c r="F39" i="15"/>
  <c r="F31" i="15"/>
  <c r="F23" i="15"/>
  <c r="F29" i="15"/>
  <c r="F21" i="15"/>
  <c r="F20" i="15"/>
  <c r="F37" i="15"/>
  <c r="F27" i="15"/>
  <c r="H27" i="4"/>
  <c r="N18" i="4"/>
  <c r="L18" i="14"/>
  <c r="D27" i="14"/>
  <c r="H27" i="10"/>
  <c r="N18" i="10"/>
  <c r="T27" i="8"/>
  <c r="Z18" i="8"/>
  <c r="F168" i="3"/>
  <c r="F152" i="3"/>
  <c r="F145" i="3"/>
  <c r="F137" i="3"/>
  <c r="F132" i="3"/>
  <c r="F120" i="3"/>
  <c r="F117" i="3"/>
  <c r="F112" i="3"/>
  <c r="F109" i="3"/>
  <c r="F105" i="3"/>
  <c r="F100" i="3"/>
  <c r="F97" i="3"/>
  <c r="F93" i="3"/>
  <c r="F88" i="3"/>
  <c r="F85" i="3"/>
  <c r="F77" i="3"/>
  <c r="F73" i="3"/>
  <c r="F65" i="3"/>
  <c r="F57" i="3"/>
  <c r="F49" i="3"/>
  <c r="F41" i="3"/>
  <c r="F33" i="3"/>
  <c r="F25" i="3"/>
  <c r="F165" i="3"/>
  <c r="F155" i="3"/>
  <c r="F144" i="3"/>
  <c r="F140" i="3"/>
  <c r="F136" i="3"/>
  <c r="F127" i="3"/>
  <c r="F108" i="3"/>
  <c r="F96" i="3"/>
  <c r="F84" i="3"/>
  <c r="F76" i="3"/>
  <c r="F72" i="3"/>
  <c r="F63" i="3"/>
  <c r="F56" i="3"/>
  <c r="F48" i="3"/>
  <c r="F40" i="3"/>
  <c r="F32" i="3"/>
  <c r="L12" i="3"/>
  <c r="N12" i="3" s="1"/>
  <c r="F180" i="3"/>
  <c r="F170" i="3"/>
  <c r="F151" i="3"/>
  <c r="F143" i="3"/>
  <c r="F139" i="3"/>
  <c r="F135" i="3"/>
  <c r="F131" i="3"/>
  <c r="F122" i="3"/>
  <c r="F119" i="3"/>
  <c r="F114" i="3"/>
  <c r="F111" i="3"/>
  <c r="F102" i="3"/>
  <c r="F99" i="3"/>
  <c r="F90" i="3"/>
  <c r="F87" i="3"/>
  <c r="F83" i="3"/>
  <c r="F71" i="3"/>
  <c r="F55" i="3"/>
  <c r="F47" i="3"/>
  <c r="F39" i="3"/>
  <c r="F31" i="3"/>
  <c r="F167" i="3"/>
  <c r="F161" i="3"/>
  <c r="F157" i="3"/>
  <c r="F154" i="3"/>
  <c r="F150" i="3"/>
  <c r="F142" i="3"/>
  <c r="F134" i="3"/>
  <c r="F130" i="3"/>
  <c r="F126" i="3"/>
  <c r="F82" i="3"/>
  <c r="F70" i="3"/>
  <c r="F54" i="3"/>
  <c r="F46" i="3"/>
  <c r="F38" i="3"/>
  <c r="F30" i="3"/>
  <c r="F172" i="3"/>
  <c r="F153" i="3"/>
  <c r="F149" i="3"/>
  <c r="F133" i="3"/>
  <c r="F129" i="3"/>
  <c r="F125" i="3"/>
  <c r="F121" i="3"/>
  <c r="F116" i="3"/>
  <c r="F113" i="3"/>
  <c r="F104" i="3"/>
  <c r="F101" i="3"/>
  <c r="F92" i="3"/>
  <c r="F89" i="3"/>
  <c r="F81" i="3"/>
  <c r="F69" i="3"/>
  <c r="F64" i="3"/>
  <c r="F53" i="3"/>
  <c r="F45" i="3"/>
  <c r="F37" i="3"/>
  <c r="F29" i="3"/>
  <c r="F24" i="3"/>
  <c r="F169" i="3"/>
  <c r="F160" i="3"/>
  <c r="F156" i="3"/>
  <c r="F148" i="3"/>
  <c r="F128" i="3"/>
  <c r="F124" i="3"/>
  <c r="F107" i="3"/>
  <c r="F95" i="3"/>
  <c r="F80" i="3"/>
  <c r="F75" i="3"/>
  <c r="F68" i="3"/>
  <c r="F52" i="3"/>
  <c r="F44" i="3"/>
  <c r="F36" i="3"/>
  <c r="F28" i="3"/>
  <c r="F181" i="3"/>
  <c r="F166" i="3"/>
  <c r="F164" i="3"/>
  <c r="F159" i="3"/>
  <c r="F147" i="3"/>
  <c r="F138" i="3"/>
  <c r="F123" i="3"/>
  <c r="F118" i="3"/>
  <c r="F115" i="3"/>
  <c r="F110" i="3"/>
  <c r="F103" i="3"/>
  <c r="F98" i="3"/>
  <c r="F91" i="3"/>
  <c r="F86" i="3"/>
  <c r="F79" i="3"/>
  <c r="F67" i="3"/>
  <c r="D61" i="3"/>
  <c r="F61" i="3" s="1"/>
  <c r="F59" i="3"/>
  <c r="F51" i="3"/>
  <c r="F43" i="3"/>
  <c r="F35" i="3"/>
  <c r="F27" i="3"/>
  <c r="F176" i="3"/>
  <c r="F171" i="3"/>
  <c r="F162" i="3"/>
  <c r="F158" i="3"/>
  <c r="F146" i="3"/>
  <c r="F141" i="3"/>
  <c r="F106" i="3"/>
  <c r="F94" i="3"/>
  <c r="F78" i="3"/>
  <c r="F74" i="3"/>
  <c r="F66" i="3"/>
  <c r="F58" i="3"/>
  <c r="F50" i="3"/>
  <c r="F42" i="3"/>
  <c r="F34" i="3"/>
  <c r="F26" i="3"/>
  <c r="X18" i="14"/>
  <c r="X18" i="4"/>
  <c r="P27" i="4"/>
  <c r="F151" i="12"/>
  <c r="F149" i="12"/>
  <c r="F144" i="12"/>
  <c r="F132" i="12"/>
  <c r="F128" i="12"/>
  <c r="F124" i="12"/>
  <c r="F120" i="12"/>
  <c r="F111" i="12"/>
  <c r="F108" i="12"/>
  <c r="F103" i="12"/>
  <c r="F100" i="12"/>
  <c r="F96" i="12"/>
  <c r="F91" i="12"/>
  <c r="F88" i="12"/>
  <c r="F84" i="12"/>
  <c r="F79" i="12"/>
  <c r="F76" i="12"/>
  <c r="F68" i="12"/>
  <c r="F64" i="12"/>
  <c r="F56" i="12"/>
  <c r="F48" i="12"/>
  <c r="F40" i="12"/>
  <c r="F32" i="12"/>
  <c r="F24" i="12"/>
  <c r="F147" i="12"/>
  <c r="F143" i="12"/>
  <c r="F131" i="12"/>
  <c r="F127" i="12"/>
  <c r="F123" i="12"/>
  <c r="F119" i="12"/>
  <c r="F115" i="12"/>
  <c r="F99" i="12"/>
  <c r="F87" i="12"/>
  <c r="F75" i="12"/>
  <c r="F67" i="12"/>
  <c r="F63" i="12"/>
  <c r="F54" i="12"/>
  <c r="F47" i="12"/>
  <c r="F39" i="12"/>
  <c r="F31" i="12"/>
  <c r="F23" i="12"/>
  <c r="F158" i="12"/>
  <c r="F153" i="12"/>
  <c r="F137" i="12"/>
  <c r="F130" i="12"/>
  <c r="F122" i="12"/>
  <c r="F118" i="12"/>
  <c r="F114" i="12"/>
  <c r="F110" i="12"/>
  <c r="F105" i="12"/>
  <c r="F102" i="12"/>
  <c r="F93" i="12"/>
  <c r="F90" i="12"/>
  <c r="F81" i="12"/>
  <c r="F78" i="12"/>
  <c r="F74" i="12"/>
  <c r="F62" i="12"/>
  <c r="F46" i="12"/>
  <c r="F38" i="12"/>
  <c r="F30" i="12"/>
  <c r="F22" i="12"/>
  <c r="F150" i="12"/>
  <c r="F140" i="12"/>
  <c r="F117" i="12"/>
  <c r="F113" i="12"/>
  <c r="F73" i="12"/>
  <c r="F61" i="12"/>
  <c r="F45" i="12"/>
  <c r="F37" i="12"/>
  <c r="F29" i="12"/>
  <c r="F136" i="12"/>
  <c r="F112" i="12"/>
  <c r="F107" i="12"/>
  <c r="F104" i="12"/>
  <c r="F95" i="12"/>
  <c r="F92" i="12"/>
  <c r="F83" i="12"/>
  <c r="F80" i="12"/>
  <c r="F72" i="12"/>
  <c r="F60" i="12"/>
  <c r="F55" i="12"/>
  <c r="F44" i="12"/>
  <c r="F36" i="12"/>
  <c r="F28" i="12"/>
  <c r="F152" i="12"/>
  <c r="F146" i="12"/>
  <c r="F142" i="12"/>
  <c r="F139" i="12"/>
  <c r="F135" i="12"/>
  <c r="F126" i="12"/>
  <c r="F98" i="12"/>
  <c r="F86" i="12"/>
  <c r="F71" i="12"/>
  <c r="F66" i="12"/>
  <c r="F59" i="12"/>
  <c r="F43" i="12"/>
  <c r="F35" i="12"/>
  <c r="F27" i="12"/>
  <c r="F138" i="12"/>
  <c r="F134" i="12"/>
  <c r="F129" i="12"/>
  <c r="F121" i="12"/>
  <c r="F109" i="12"/>
  <c r="F106" i="12"/>
  <c r="F101" i="12"/>
  <c r="F94" i="12"/>
  <c r="F89" i="12"/>
  <c r="F82" i="12"/>
  <c r="F77" i="12"/>
  <c r="F70" i="12"/>
  <c r="F58" i="12"/>
  <c r="D52" i="12"/>
  <c r="F52" i="12" s="1"/>
  <c r="F50" i="12"/>
  <c r="F42" i="12"/>
  <c r="F34" i="12"/>
  <c r="F26" i="12"/>
  <c r="F21" i="12"/>
  <c r="L12" i="12"/>
  <c r="N12" i="12" s="1"/>
  <c r="F145" i="12"/>
  <c r="F133" i="12"/>
  <c r="F85" i="12"/>
  <c r="F125" i="12"/>
  <c r="F41" i="12"/>
  <c r="F97" i="12"/>
  <c r="F154" i="12"/>
  <c r="F49" i="12"/>
  <c r="F65" i="12"/>
  <c r="F57" i="12"/>
  <c r="F25" i="12"/>
  <c r="F141" i="12"/>
  <c r="F116" i="12"/>
  <c r="F69" i="12"/>
  <c r="F33" i="12"/>
  <c r="H27" i="93"/>
  <c r="N18" i="93"/>
  <c r="H27" i="94"/>
  <c r="N18" i="94"/>
  <c r="L18" i="94"/>
  <c r="D27" i="94"/>
  <c r="H70" i="91"/>
  <c r="L70" i="91" s="1"/>
  <c r="N17" i="91"/>
  <c r="R70" i="91"/>
  <c r="Z18" i="92"/>
  <c r="T27" i="92"/>
  <c r="P64" i="86"/>
  <c r="L16" i="79"/>
  <c r="D28" i="79"/>
  <c r="N50" i="83"/>
  <c r="H54" i="83"/>
  <c r="R77" i="77"/>
  <c r="R69" i="77"/>
  <c r="R61" i="77"/>
  <c r="R58" i="77"/>
  <c r="R41" i="77"/>
  <c r="R29" i="77"/>
  <c r="R21" i="77"/>
  <c r="R90" i="77"/>
  <c r="R84" i="77"/>
  <c r="R81" i="77"/>
  <c r="R76" i="77"/>
  <c r="R68" i="77"/>
  <c r="R64" i="77"/>
  <c r="R52" i="77"/>
  <c r="R49" i="77"/>
  <c r="R40" i="77"/>
  <c r="R28" i="77"/>
  <c r="R25" i="77"/>
  <c r="R20" i="77"/>
  <c r="X12" i="77"/>
  <c r="Z12" i="77" s="1"/>
  <c r="R75" i="77"/>
  <c r="R71" i="77"/>
  <c r="R67" i="77"/>
  <c r="R63" i="77"/>
  <c r="R60" i="77"/>
  <c r="R55" i="77"/>
  <c r="R39" i="77"/>
  <c r="R35" i="77"/>
  <c r="R27" i="77"/>
  <c r="R19" i="77"/>
  <c r="R83" i="77"/>
  <c r="R74" i="77"/>
  <c r="R66" i="77"/>
  <c r="R54" i="77"/>
  <c r="R51" i="77"/>
  <c r="R46" i="77"/>
  <c r="R38" i="77"/>
  <c r="R34" i="77"/>
  <c r="R73" i="77"/>
  <c r="R70" i="77"/>
  <c r="R62" i="77"/>
  <c r="R57" i="77"/>
  <c r="R45" i="77"/>
  <c r="R37" i="77"/>
  <c r="R33" i="77"/>
  <c r="R26" i="77"/>
  <c r="R18" i="77"/>
  <c r="R80" i="77"/>
  <c r="R65" i="77"/>
  <c r="R53" i="77"/>
  <c r="R48" i="77"/>
  <c r="R44" i="77"/>
  <c r="R32" i="77"/>
  <c r="R72" i="77"/>
  <c r="R47" i="77"/>
  <c r="R42" i="77"/>
  <c r="R36" i="77"/>
  <c r="R43" i="77"/>
  <c r="R86" i="77"/>
  <c r="R30" i="77"/>
  <c r="P23" i="77"/>
  <c r="R78" i="77"/>
  <c r="R56" i="77"/>
  <c r="R82" i="77"/>
  <c r="R79" i="77"/>
  <c r="R31" i="77"/>
  <c r="R59" i="77"/>
  <c r="R50" i="77"/>
  <c r="R68" i="74"/>
  <c r="R64" i="74"/>
  <c r="R58" i="74"/>
  <c r="R55" i="74"/>
  <c r="R38" i="74"/>
  <c r="R26" i="74"/>
  <c r="R23" i="74"/>
  <c r="R18" i="74"/>
  <c r="R80" i="74"/>
  <c r="R73" i="74"/>
  <c r="R49" i="74"/>
  <c r="R46" i="74"/>
  <c r="R37" i="74"/>
  <c r="R25" i="74"/>
  <c r="R76" i="74"/>
  <c r="R72" i="74"/>
  <c r="R60" i="74"/>
  <c r="R57" i="74"/>
  <c r="R52" i="74"/>
  <c r="R36" i="74"/>
  <c r="R32" i="74"/>
  <c r="X12" i="74"/>
  <c r="Z12" i="74" s="1"/>
  <c r="R75" i="74"/>
  <c r="R71" i="74"/>
  <c r="R67" i="74"/>
  <c r="R63" i="74"/>
  <c r="R51" i="74"/>
  <c r="R48" i="74"/>
  <c r="R43" i="74"/>
  <c r="R35" i="74"/>
  <c r="R31" i="74"/>
  <c r="R24" i="74"/>
  <c r="R16" i="74"/>
  <c r="R77" i="74"/>
  <c r="R61" i="74"/>
  <c r="R56" i="74"/>
  <c r="R53" i="74"/>
  <c r="R40" i="74"/>
  <c r="R33" i="74"/>
  <c r="R28" i="74"/>
  <c r="R44" i="74"/>
  <c r="R27" i="74"/>
  <c r="R19" i="74"/>
  <c r="R54" i="74"/>
  <c r="R50" i="74"/>
  <c r="R45" i="74"/>
  <c r="R39" i="74"/>
  <c r="R69" i="74"/>
  <c r="R65" i="74"/>
  <c r="P21" i="74"/>
  <c r="R21" i="74" s="1"/>
  <c r="R70" i="74"/>
  <c r="R66" i="74"/>
  <c r="R62" i="74"/>
  <c r="R74" i="74"/>
  <c r="R59" i="74"/>
  <c r="R17" i="74"/>
  <c r="R34" i="74"/>
  <c r="R78" i="74"/>
  <c r="R29" i="74"/>
  <c r="R47" i="74"/>
  <c r="R41" i="74"/>
  <c r="R84" i="74"/>
  <c r="R42" i="74"/>
  <c r="R30" i="74"/>
  <c r="H86" i="75"/>
  <c r="N21" i="75"/>
  <c r="D70" i="72"/>
  <c r="L19" i="72"/>
  <c r="N19" i="72" s="1"/>
  <c r="P29" i="64"/>
  <c r="X16" i="64"/>
  <c r="L16" i="60"/>
  <c r="D58" i="60"/>
  <c r="P27" i="53"/>
  <c r="X18" i="53"/>
  <c r="J30" i="51"/>
  <c r="X18" i="47"/>
  <c r="P27" i="47"/>
  <c r="X18" i="44"/>
  <c r="P27" i="44"/>
  <c r="N18" i="50"/>
  <c r="H27" i="50"/>
  <c r="H27" i="49"/>
  <c r="N18" i="49"/>
  <c r="L60" i="59"/>
  <c r="N60" i="59" s="1"/>
  <c r="D27" i="50"/>
  <c r="L18" i="50"/>
  <c r="T74" i="48"/>
  <c r="X74" i="48" s="1"/>
  <c r="Z70" i="48"/>
  <c r="L18" i="52"/>
  <c r="D27" i="52"/>
  <c r="T27" i="46"/>
  <c r="Z18" i="46"/>
  <c r="X18" i="49"/>
  <c r="P31" i="37"/>
  <c r="D31" i="53"/>
  <c r="X18" i="50"/>
  <c r="P27" i="50"/>
  <c r="P31" i="41"/>
  <c r="H27" i="40"/>
  <c r="N18" i="40"/>
  <c r="L18" i="41"/>
  <c r="D27" i="41"/>
  <c r="R73" i="33"/>
  <c r="R68" i="33"/>
  <c r="R57" i="33"/>
  <c r="R53" i="33"/>
  <c r="R50" i="33"/>
  <c r="R45" i="33"/>
  <c r="R37" i="33"/>
  <c r="R33" i="33"/>
  <c r="R64" i="33"/>
  <c r="R56" i="33"/>
  <c r="R44" i="33"/>
  <c r="R36" i="33"/>
  <c r="R32" i="33"/>
  <c r="R25" i="33"/>
  <c r="R63" i="33"/>
  <c r="R59" i="33"/>
  <c r="R52" i="33"/>
  <c r="R47" i="33"/>
  <c r="R43" i="33"/>
  <c r="R31" i="33"/>
  <c r="R66" i="33"/>
  <c r="R62" i="33"/>
  <c r="R55" i="33"/>
  <c r="R42" i="33"/>
  <c r="R35" i="33"/>
  <c r="R30" i="33"/>
  <c r="P22" i="33"/>
  <c r="X12" i="33"/>
  <c r="Z12" i="33" s="1"/>
  <c r="R69" i="33"/>
  <c r="R61" i="33"/>
  <c r="R58" i="33"/>
  <c r="R49" i="33"/>
  <c r="R46" i="33"/>
  <c r="R41" i="33"/>
  <c r="R29" i="33"/>
  <c r="R65" i="33"/>
  <c r="R40" i="33"/>
  <c r="R28" i="33"/>
  <c r="R20" i="33"/>
  <c r="R54" i="33"/>
  <c r="R38" i="33"/>
  <c r="R34" i="33"/>
  <c r="R26" i="33"/>
  <c r="R19" i="33"/>
  <c r="R48" i="33"/>
  <c r="R24" i="33"/>
  <c r="R51" i="33"/>
  <c r="R60" i="33"/>
  <c r="R39" i="33"/>
  <c r="R27" i="33"/>
  <c r="D36" i="32"/>
  <c r="Z18" i="28"/>
  <c r="T27" i="28"/>
  <c r="H78" i="33"/>
  <c r="Z18" i="17"/>
  <c r="T27" i="17"/>
  <c r="D86" i="27"/>
  <c r="L30" i="27"/>
  <c r="N30" i="27" s="1"/>
  <c r="F80" i="27"/>
  <c r="T95" i="9"/>
  <c r="Z16" i="9"/>
  <c r="H27" i="7"/>
  <c r="N18" i="7"/>
  <c r="D27" i="8"/>
  <c r="L18" i="8"/>
  <c r="X18" i="8"/>
  <c r="P27" i="8"/>
  <c r="X18" i="11"/>
  <c r="P27" i="11"/>
  <c r="P102" i="9"/>
  <c r="V70" i="91"/>
  <c r="L18" i="93"/>
  <c r="J23" i="87"/>
  <c r="N17" i="85"/>
  <c r="L17" i="85"/>
  <c r="H27" i="85"/>
  <c r="D50" i="83"/>
  <c r="L16" i="83"/>
  <c r="P50" i="83"/>
  <c r="X16" i="83"/>
  <c r="Z16" i="80"/>
  <c r="T26" i="80"/>
  <c r="X16" i="79"/>
  <c r="Z19" i="72"/>
  <c r="T70" i="72"/>
  <c r="X70" i="72" s="1"/>
  <c r="X28" i="76"/>
  <c r="Z28" i="76" s="1"/>
  <c r="P32" i="76"/>
  <c r="H82" i="74"/>
  <c r="H29" i="73"/>
  <c r="R74" i="70"/>
  <c r="R67" i="70"/>
  <c r="R62" i="70"/>
  <c r="R59" i="70"/>
  <c r="R54" i="70"/>
  <c r="R46" i="70"/>
  <c r="R42" i="70"/>
  <c r="R34" i="70"/>
  <c r="R26" i="70"/>
  <c r="R70" i="70"/>
  <c r="R53" i="70"/>
  <c r="R45" i="70"/>
  <c r="R41" i="70"/>
  <c r="R76" i="70"/>
  <c r="R64" i="70"/>
  <c r="R61" i="70"/>
  <c r="R56" i="70"/>
  <c r="R52" i="70"/>
  <c r="R40" i="70"/>
  <c r="R33" i="70"/>
  <c r="R24" i="70"/>
  <c r="R51" i="70"/>
  <c r="R44" i="70"/>
  <c r="R39" i="70"/>
  <c r="R23" i="70"/>
  <c r="R73" i="70"/>
  <c r="R66" i="70"/>
  <c r="R63" i="70"/>
  <c r="R58" i="70"/>
  <c r="R55" i="70"/>
  <c r="R50" i="70"/>
  <c r="R38" i="70"/>
  <c r="P30" i="70"/>
  <c r="R22" i="70"/>
  <c r="R75" i="70"/>
  <c r="R69" i="70"/>
  <c r="R49" i="70"/>
  <c r="R37" i="70"/>
  <c r="R71" i="70"/>
  <c r="R35" i="70"/>
  <c r="R19" i="70"/>
  <c r="R68" i="70"/>
  <c r="R36" i="70"/>
  <c r="R32" i="70"/>
  <c r="R21" i="70"/>
  <c r="R20" i="70"/>
  <c r="R65" i="70"/>
  <c r="R28" i="70"/>
  <c r="R27" i="70"/>
  <c r="X12" i="70"/>
  <c r="Z12" i="70" s="1"/>
  <c r="R80" i="70"/>
  <c r="R57" i="70"/>
  <c r="R18" i="70"/>
  <c r="R43" i="70"/>
  <c r="R60" i="70"/>
  <c r="R25" i="70"/>
  <c r="R47" i="70"/>
  <c r="R48" i="70"/>
  <c r="H71" i="69"/>
  <c r="J22" i="69"/>
  <c r="H26" i="66"/>
  <c r="N16" i="66"/>
  <c r="F66" i="70"/>
  <c r="F61" i="70"/>
  <c r="F58" i="70"/>
  <c r="F50" i="70"/>
  <c r="F38" i="70"/>
  <c r="F33" i="70"/>
  <c r="F22" i="70"/>
  <c r="F69" i="70"/>
  <c r="F49" i="70"/>
  <c r="F44" i="70"/>
  <c r="F37" i="70"/>
  <c r="F30" i="70"/>
  <c r="F80" i="70"/>
  <c r="F75" i="70"/>
  <c r="F73" i="70"/>
  <c r="F68" i="70"/>
  <c r="F63" i="70"/>
  <c r="F60" i="70"/>
  <c r="F55" i="70"/>
  <c r="F48" i="70"/>
  <c r="F36" i="70"/>
  <c r="D30" i="70"/>
  <c r="F28" i="70"/>
  <c r="F20" i="70"/>
  <c r="L12" i="70"/>
  <c r="N12" i="70" s="1"/>
  <c r="F71" i="70"/>
  <c r="F47" i="70"/>
  <c r="F43" i="70"/>
  <c r="F35" i="70"/>
  <c r="F27" i="70"/>
  <c r="F19" i="70"/>
  <c r="F65" i="70"/>
  <c r="F62" i="70"/>
  <c r="F57" i="70"/>
  <c r="F54" i="70"/>
  <c r="F46" i="70"/>
  <c r="F42" i="70"/>
  <c r="F34" i="70"/>
  <c r="F26" i="70"/>
  <c r="F74" i="70"/>
  <c r="F53" i="70"/>
  <c r="F45" i="70"/>
  <c r="F41" i="70"/>
  <c r="F32" i="70"/>
  <c r="F25" i="70"/>
  <c r="F70" i="70"/>
  <c r="F24" i="70"/>
  <c r="F67" i="70"/>
  <c r="F56" i="70"/>
  <c r="F76" i="70"/>
  <c r="F52" i="70"/>
  <c r="F18" i="70"/>
  <c r="F64" i="70"/>
  <c r="F39" i="70"/>
  <c r="F21" i="70"/>
  <c r="F51" i="70"/>
  <c r="F23" i="70"/>
  <c r="F40" i="70"/>
  <c r="F59" i="70"/>
  <c r="R101" i="68"/>
  <c r="R94" i="68"/>
  <c r="R90" i="68"/>
  <c r="R86" i="68"/>
  <c r="R74" i="68"/>
  <c r="R71" i="68"/>
  <c r="R66" i="68"/>
  <c r="R63" i="68"/>
  <c r="R58" i="68"/>
  <c r="R46" i="68"/>
  <c r="R30" i="68"/>
  <c r="R22" i="68"/>
  <c r="R103" i="68"/>
  <c r="R97" i="68"/>
  <c r="R93" i="68"/>
  <c r="R82" i="68"/>
  <c r="R77" i="68"/>
  <c r="R57" i="68"/>
  <c r="R45" i="68"/>
  <c r="R37" i="68"/>
  <c r="R29" i="68"/>
  <c r="R21" i="68"/>
  <c r="R108" i="68"/>
  <c r="R89" i="68"/>
  <c r="R85" i="68"/>
  <c r="R73" i="68"/>
  <c r="R68" i="68"/>
  <c r="R65" i="68"/>
  <c r="R56" i="68"/>
  <c r="R44" i="68"/>
  <c r="R41" i="68"/>
  <c r="R36" i="68"/>
  <c r="R28" i="68"/>
  <c r="R20" i="68"/>
  <c r="X12" i="68"/>
  <c r="Z12" i="68" s="1"/>
  <c r="R99" i="68"/>
  <c r="R96" i="68"/>
  <c r="R92" i="68"/>
  <c r="R79" i="68"/>
  <c r="R76" i="68"/>
  <c r="R55" i="68"/>
  <c r="R51" i="68"/>
  <c r="R43" i="68"/>
  <c r="R35" i="68"/>
  <c r="R27" i="68"/>
  <c r="R19" i="68"/>
  <c r="R102" i="68"/>
  <c r="R70" i="68"/>
  <c r="R67" i="68"/>
  <c r="R62" i="68"/>
  <c r="R54" i="68"/>
  <c r="R50" i="68"/>
  <c r="R34" i="68"/>
  <c r="R26" i="68"/>
  <c r="R95" i="68"/>
  <c r="R91" i="68"/>
  <c r="R87" i="68"/>
  <c r="R83" i="68"/>
  <c r="R80" i="68"/>
  <c r="R75" i="68"/>
  <c r="R59" i="68"/>
  <c r="R52" i="68"/>
  <c r="R47" i="68"/>
  <c r="P39" i="68"/>
  <c r="R31" i="68"/>
  <c r="R23" i="68"/>
  <c r="R53" i="68"/>
  <c r="R18" i="68"/>
  <c r="R64" i="68"/>
  <c r="R60" i="68"/>
  <c r="R88" i="68"/>
  <c r="R42" i="68"/>
  <c r="R98" i="68"/>
  <c r="R84" i="68"/>
  <c r="R61" i="68"/>
  <c r="R32" i="68"/>
  <c r="R33" i="68"/>
  <c r="R81" i="68"/>
  <c r="R72" i="68"/>
  <c r="R49" i="68"/>
  <c r="R25" i="68"/>
  <c r="R48" i="68"/>
  <c r="R78" i="68"/>
  <c r="R24" i="68"/>
  <c r="R39" i="68"/>
  <c r="R104" i="68"/>
  <c r="R69" i="68"/>
  <c r="D80" i="78"/>
  <c r="N29" i="63"/>
  <c r="H80" i="63"/>
  <c r="T65" i="57"/>
  <c r="Z16" i="57"/>
  <c r="H93" i="62"/>
  <c r="N16" i="62"/>
  <c r="D93" i="62"/>
  <c r="L16" i="62"/>
  <c r="H78" i="58"/>
  <c r="L64" i="59"/>
  <c r="D67" i="59"/>
  <c r="Z30" i="51"/>
  <c r="T78" i="51"/>
  <c r="N18" i="53"/>
  <c r="H27" i="53"/>
  <c r="H27" i="47"/>
  <c r="L27" i="47" s="1"/>
  <c r="N18" i="47"/>
  <c r="L18" i="46"/>
  <c r="D27" i="46"/>
  <c r="H65" i="57"/>
  <c r="N16" i="57"/>
  <c r="H27" i="46"/>
  <c r="N18" i="46"/>
  <c r="L17" i="48"/>
  <c r="N17" i="48" s="1"/>
  <c r="D70" i="48"/>
  <c r="T103" i="42"/>
  <c r="Z23" i="42"/>
  <c r="H27" i="52"/>
  <c r="N18" i="52"/>
  <c r="Z27" i="44"/>
  <c r="T31" i="44"/>
  <c r="T27" i="40"/>
  <c r="Z18" i="40"/>
  <c r="T27" i="37"/>
  <c r="Z18" i="37"/>
  <c r="X18" i="41"/>
  <c r="T27" i="31"/>
  <c r="Z18" i="31"/>
  <c r="X18" i="40"/>
  <c r="F107" i="30"/>
  <c r="F104" i="30"/>
  <c r="F96" i="30"/>
  <c r="F92" i="30"/>
  <c r="F88" i="30"/>
  <c r="F83" i="30"/>
  <c r="F80" i="30"/>
  <c r="F71" i="30"/>
  <c r="F68" i="30"/>
  <c r="F63" i="30"/>
  <c r="F56" i="30"/>
  <c r="F44" i="30"/>
  <c r="F36" i="30"/>
  <c r="F28" i="30"/>
  <c r="F20" i="30"/>
  <c r="L12" i="30"/>
  <c r="N12" i="30" s="1"/>
  <c r="F116" i="30"/>
  <c r="F110" i="30"/>
  <c r="F103" i="30"/>
  <c r="F99" i="30"/>
  <c r="F95" i="30"/>
  <c r="F91" i="30"/>
  <c r="F55" i="30"/>
  <c r="F51" i="30"/>
  <c r="F43" i="30"/>
  <c r="F35" i="30"/>
  <c r="F27" i="30"/>
  <c r="F19" i="30"/>
  <c r="F106" i="30"/>
  <c r="F102" i="30"/>
  <c r="F98" i="30"/>
  <c r="F85" i="30"/>
  <c r="F82" i="30"/>
  <c r="F73" i="30"/>
  <c r="F70" i="30"/>
  <c r="F65" i="30"/>
  <c r="F62" i="30"/>
  <c r="F54" i="30"/>
  <c r="F50" i="30"/>
  <c r="F41" i="30"/>
  <c r="F34" i="30"/>
  <c r="F26" i="30"/>
  <c r="F109" i="30"/>
  <c r="F101" i="30"/>
  <c r="F76" i="30"/>
  <c r="F61" i="30"/>
  <c r="F53" i="30"/>
  <c r="F49" i="30"/>
  <c r="F33" i="30"/>
  <c r="F25" i="30"/>
  <c r="F120" i="30"/>
  <c r="F115" i="30"/>
  <c r="F113" i="30"/>
  <c r="F108" i="30"/>
  <c r="F87" i="30"/>
  <c r="F84" i="30"/>
  <c r="F79" i="30"/>
  <c r="F72" i="30"/>
  <c r="F67" i="30"/>
  <c r="F64" i="30"/>
  <c r="F60" i="30"/>
  <c r="F48" i="30"/>
  <c r="F32" i="30"/>
  <c r="F24" i="30"/>
  <c r="F111" i="30"/>
  <c r="F94" i="30"/>
  <c r="F90" i="30"/>
  <c r="F75" i="30"/>
  <c r="F59" i="30"/>
  <c r="F47" i="30"/>
  <c r="F42" i="30"/>
  <c r="F31" i="30"/>
  <c r="F23" i="30"/>
  <c r="F18" i="30"/>
  <c r="F114" i="30"/>
  <c r="F100" i="30"/>
  <c r="F93" i="30"/>
  <c r="F89" i="30"/>
  <c r="F77" i="30"/>
  <c r="F57" i="30"/>
  <c r="F52" i="30"/>
  <c r="F45" i="30"/>
  <c r="D39" i="30"/>
  <c r="F37" i="30"/>
  <c r="F29" i="30"/>
  <c r="F21" i="30"/>
  <c r="F105" i="30"/>
  <c r="F74" i="30"/>
  <c r="F69" i="30"/>
  <c r="F46" i="30"/>
  <c r="F66" i="30"/>
  <c r="F39" i="30"/>
  <c r="F22" i="30"/>
  <c r="F81" i="30"/>
  <c r="F86" i="30"/>
  <c r="F78" i="30"/>
  <c r="F97" i="30"/>
  <c r="F30" i="30"/>
  <c r="F58" i="30"/>
  <c r="J39" i="30"/>
  <c r="P113" i="36"/>
  <c r="X25" i="36"/>
  <c r="Z25" i="36" s="1"/>
  <c r="R25" i="36"/>
  <c r="T27" i="26"/>
  <c r="Z18" i="26"/>
  <c r="H27" i="16"/>
  <c r="N18" i="16"/>
  <c r="P36" i="28"/>
  <c r="T80" i="24"/>
  <c r="F22" i="33"/>
  <c r="T36" i="32"/>
  <c r="Z36" i="32" s="1"/>
  <c r="Z31" i="32"/>
  <c r="T27" i="22"/>
  <c r="Z18" i="22"/>
  <c r="L18" i="19"/>
  <c r="D27" i="19"/>
  <c r="V55" i="18"/>
  <c r="H27" i="22"/>
  <c r="N18" i="22"/>
  <c r="F30" i="27"/>
  <c r="X18" i="13"/>
  <c r="P27" i="13"/>
  <c r="T147" i="15"/>
  <c r="V49" i="15"/>
  <c r="D95" i="9"/>
  <c r="L16" i="9"/>
  <c r="H31" i="41" l="1"/>
  <c r="H36" i="41" s="1"/>
  <c r="N36" i="41" s="1"/>
  <c r="H36" i="25"/>
  <c r="N36" i="25" s="1"/>
  <c r="X27" i="93"/>
  <c r="D31" i="92"/>
  <c r="L31" i="92" s="1"/>
  <c r="H31" i="38"/>
  <c r="H36" i="38" s="1"/>
  <c r="N36" i="38" s="1"/>
  <c r="N27" i="20"/>
  <c r="H31" i="20"/>
  <c r="L27" i="20"/>
  <c r="D31" i="20"/>
  <c r="T84" i="24"/>
  <c r="V80" i="24"/>
  <c r="D99" i="9"/>
  <c r="L95" i="9"/>
  <c r="Z27" i="26"/>
  <c r="T31" i="26"/>
  <c r="T31" i="37"/>
  <c r="X31" i="37" s="1"/>
  <c r="Z27" i="37"/>
  <c r="T107" i="42"/>
  <c r="V103" i="42"/>
  <c r="T69" i="57"/>
  <c r="X65" i="57"/>
  <c r="Z65" i="57" s="1"/>
  <c r="N27" i="7"/>
  <c r="H31" i="7"/>
  <c r="D31" i="50"/>
  <c r="L27" i="50"/>
  <c r="X27" i="47"/>
  <c r="P31" i="47"/>
  <c r="P33" i="64"/>
  <c r="X29" i="64"/>
  <c r="Z29" i="64" s="1"/>
  <c r="X23" i="77"/>
  <c r="Z23" i="77" s="1"/>
  <c r="P88" i="77"/>
  <c r="H31" i="54"/>
  <c r="N26" i="54"/>
  <c r="P26" i="54"/>
  <c r="X22" i="54"/>
  <c r="X21" i="75"/>
  <c r="Z21" i="75" s="1"/>
  <c r="P86" i="75"/>
  <c r="T80" i="78"/>
  <c r="L86" i="82"/>
  <c r="N86" i="82" s="1"/>
  <c r="D90" i="82"/>
  <c r="H151" i="15"/>
  <c r="J147" i="15"/>
  <c r="D31" i="38"/>
  <c r="L27" i="38"/>
  <c r="R85" i="51"/>
  <c r="D90" i="75"/>
  <c r="L86" i="75"/>
  <c r="F86" i="75"/>
  <c r="P71" i="69"/>
  <c r="X22" i="69"/>
  <c r="Z22" i="69" s="1"/>
  <c r="H93" i="82"/>
  <c r="J90" i="82"/>
  <c r="P36" i="94"/>
  <c r="Z27" i="16"/>
  <c r="T31" i="16"/>
  <c r="P107" i="42"/>
  <c r="X103" i="42"/>
  <c r="Z103" i="42" s="1"/>
  <c r="R103" i="42"/>
  <c r="D90" i="65"/>
  <c r="L86" i="65"/>
  <c r="F86" i="65"/>
  <c r="L106" i="68"/>
  <c r="D110" i="68"/>
  <c r="F106" i="68"/>
  <c r="L27" i="35"/>
  <c r="D31" i="35"/>
  <c r="T90" i="27"/>
  <c r="V86" i="27"/>
  <c r="T31" i="41"/>
  <c r="X31" i="41" s="1"/>
  <c r="Z27" i="41"/>
  <c r="D82" i="74"/>
  <c r="L21" i="74"/>
  <c r="N21" i="74" s="1"/>
  <c r="F21" i="74"/>
  <c r="T35" i="76"/>
  <c r="V32" i="76"/>
  <c r="T89" i="87"/>
  <c r="V85" i="87"/>
  <c r="D87" i="89"/>
  <c r="L22" i="89"/>
  <c r="N22" i="89" s="1"/>
  <c r="Z27" i="35"/>
  <c r="T31" i="35"/>
  <c r="X31" i="35" s="1"/>
  <c r="D78" i="58"/>
  <c r="L74" i="58"/>
  <c r="N74" i="58" s="1"/>
  <c r="D61" i="61"/>
  <c r="L57" i="61"/>
  <c r="N57" i="61" s="1"/>
  <c r="H77" i="78"/>
  <c r="N73" i="78"/>
  <c r="L73" i="78"/>
  <c r="D25" i="73"/>
  <c r="L19" i="73"/>
  <c r="N19" i="73" s="1"/>
  <c r="H31" i="22"/>
  <c r="N27" i="22"/>
  <c r="D74" i="48"/>
  <c r="L70" i="48"/>
  <c r="F70" i="48"/>
  <c r="H84" i="63"/>
  <c r="J80" i="63"/>
  <c r="H75" i="69"/>
  <c r="J71" i="69"/>
  <c r="H32" i="73"/>
  <c r="J29" i="73"/>
  <c r="T30" i="80"/>
  <c r="P31" i="11"/>
  <c r="X27" i="11"/>
  <c r="J78" i="33"/>
  <c r="P36" i="41"/>
  <c r="R23" i="77"/>
  <c r="H57" i="83"/>
  <c r="N57" i="83" s="1"/>
  <c r="N54" i="83"/>
  <c r="H31" i="93"/>
  <c r="L31" i="93" s="1"/>
  <c r="N27" i="93"/>
  <c r="T31" i="8"/>
  <c r="Z27" i="8"/>
  <c r="D147" i="15"/>
  <c r="L49" i="15"/>
  <c r="N49" i="15" s="1"/>
  <c r="P36" i="49"/>
  <c r="T31" i="6"/>
  <c r="Z26" i="6"/>
  <c r="Z27" i="11"/>
  <c r="T31" i="11"/>
  <c r="J87" i="24"/>
  <c r="T117" i="36"/>
  <c r="V113" i="36"/>
  <c r="D69" i="57"/>
  <c r="L65" i="57"/>
  <c r="H62" i="60"/>
  <c r="P78" i="58"/>
  <c r="X74" i="58"/>
  <c r="P77" i="78"/>
  <c r="X73" i="78"/>
  <c r="Z73" i="78" s="1"/>
  <c r="Z27" i="5"/>
  <c r="T31" i="5"/>
  <c r="T159" i="18"/>
  <c r="V155" i="18"/>
  <c r="L27" i="17"/>
  <c r="D31" i="17"/>
  <c r="T31" i="49"/>
  <c r="X31" i="49" s="1"/>
  <c r="Z27" i="49"/>
  <c r="P92" i="81"/>
  <c r="X23" i="81"/>
  <c r="Z23" i="81" s="1"/>
  <c r="H33" i="84"/>
  <c r="P28" i="90"/>
  <c r="X24" i="90"/>
  <c r="H99" i="9"/>
  <c r="N95" i="9"/>
  <c r="Z27" i="25"/>
  <c r="T31" i="25"/>
  <c r="X27" i="26"/>
  <c r="P31" i="26"/>
  <c r="T86" i="74"/>
  <c r="V82" i="74"/>
  <c r="D31" i="11"/>
  <c r="L27" i="11"/>
  <c r="Z31" i="10"/>
  <c r="T36" i="10"/>
  <c r="Z36" i="10" s="1"/>
  <c r="N27" i="8"/>
  <c r="H31" i="8"/>
  <c r="V95" i="21"/>
  <c r="N31" i="29"/>
  <c r="H36" i="29"/>
  <c r="N36" i="29" s="1"/>
  <c r="H159" i="18"/>
  <c r="J155" i="18"/>
  <c r="H107" i="42"/>
  <c r="J103" i="42"/>
  <c r="T64" i="59"/>
  <c r="T26" i="54"/>
  <c r="Z22" i="54"/>
  <c r="T75" i="69"/>
  <c r="V71" i="69"/>
  <c r="H89" i="87"/>
  <c r="J85" i="87"/>
  <c r="P36" i="19"/>
  <c r="T122" i="30"/>
  <c r="V118" i="30"/>
  <c r="N27" i="35"/>
  <c r="H31" i="35"/>
  <c r="D31" i="40"/>
  <c r="L27" i="40"/>
  <c r="H32" i="79"/>
  <c r="H91" i="89"/>
  <c r="J87" i="89"/>
  <c r="H81" i="58"/>
  <c r="T99" i="9"/>
  <c r="Z95" i="9"/>
  <c r="X95" i="9"/>
  <c r="Z27" i="28"/>
  <c r="T31" i="28"/>
  <c r="X27" i="28"/>
  <c r="P31" i="50"/>
  <c r="X27" i="50"/>
  <c r="Z27" i="46"/>
  <c r="T31" i="46"/>
  <c r="L70" i="72"/>
  <c r="D74" i="72"/>
  <c r="H31" i="14"/>
  <c r="N27" i="14"/>
  <c r="T31" i="23"/>
  <c r="X31" i="23" s="1"/>
  <c r="Z27" i="23"/>
  <c r="X24" i="39"/>
  <c r="Z24" i="39" s="1"/>
  <c r="P107" i="39"/>
  <c r="X27" i="46"/>
  <c r="P31" i="46"/>
  <c r="D69" i="56"/>
  <c r="L65" i="56"/>
  <c r="H30" i="80"/>
  <c r="D89" i="87"/>
  <c r="L85" i="87"/>
  <c r="N85" i="87" s="1"/>
  <c r="F85" i="87"/>
  <c r="P36" i="14"/>
  <c r="D31" i="13"/>
  <c r="L27" i="13"/>
  <c r="H31" i="37"/>
  <c r="N27" i="37"/>
  <c r="L27" i="25"/>
  <c r="D31" i="25"/>
  <c r="X27" i="43"/>
  <c r="P31" i="43"/>
  <c r="T90" i="82"/>
  <c r="V86" i="82"/>
  <c r="P72" i="56"/>
  <c r="P33" i="66"/>
  <c r="H82" i="70"/>
  <c r="J78" i="70"/>
  <c r="P31" i="5"/>
  <c r="X27" i="5"/>
  <c r="X27" i="23"/>
  <c r="P38" i="55"/>
  <c r="X19" i="73"/>
  <c r="Z19" i="73" s="1"/>
  <c r="P25" i="73"/>
  <c r="H90" i="27"/>
  <c r="J86" i="27"/>
  <c r="L27" i="28"/>
  <c r="D31" i="28"/>
  <c r="T65" i="60"/>
  <c r="D31" i="71"/>
  <c r="L27" i="71"/>
  <c r="D31" i="22"/>
  <c r="L27" i="22"/>
  <c r="L27" i="31"/>
  <c r="D31" i="31"/>
  <c r="L23" i="45"/>
  <c r="N23" i="45" s="1"/>
  <c r="D95" i="45"/>
  <c r="P35" i="79"/>
  <c r="P91" i="89"/>
  <c r="X87" i="89"/>
  <c r="R87" i="89"/>
  <c r="L27" i="93"/>
  <c r="P117" i="36"/>
  <c r="X113" i="36"/>
  <c r="Z113" i="36" s="1"/>
  <c r="R113" i="36"/>
  <c r="Z31" i="44"/>
  <c r="T36" i="44"/>
  <c r="Z36" i="44" s="1"/>
  <c r="N27" i="53"/>
  <c r="H31" i="53"/>
  <c r="L31" i="53" s="1"/>
  <c r="H86" i="74"/>
  <c r="J82" i="74"/>
  <c r="P31" i="8"/>
  <c r="X27" i="8"/>
  <c r="L27" i="52"/>
  <c r="D31" i="52"/>
  <c r="N27" i="49"/>
  <c r="H31" i="49"/>
  <c r="D32" i="79"/>
  <c r="L28" i="79"/>
  <c r="N28" i="79" s="1"/>
  <c r="H74" i="91"/>
  <c r="N70" i="91"/>
  <c r="J70" i="91"/>
  <c r="P31" i="4"/>
  <c r="X27" i="4"/>
  <c r="L61" i="3"/>
  <c r="N61" i="3" s="1"/>
  <c r="D174" i="3"/>
  <c r="N27" i="10"/>
  <c r="H31" i="10"/>
  <c r="P36" i="38"/>
  <c r="R77" i="48"/>
  <c r="P64" i="59"/>
  <c r="X60" i="59"/>
  <c r="Z60" i="59" s="1"/>
  <c r="X30" i="65"/>
  <c r="Z30" i="65" s="1"/>
  <c r="P86" i="65"/>
  <c r="T82" i="70"/>
  <c r="V78" i="70"/>
  <c r="R21" i="75"/>
  <c r="T32" i="79"/>
  <c r="X32" i="79" s="1"/>
  <c r="Z28" i="79"/>
  <c r="T31" i="85"/>
  <c r="X27" i="85"/>
  <c r="Z27" i="85" s="1"/>
  <c r="T31" i="38"/>
  <c r="Z27" i="38"/>
  <c r="D35" i="55"/>
  <c r="L31" i="55"/>
  <c r="P65" i="60"/>
  <c r="X65" i="60" s="1"/>
  <c r="X62" i="60"/>
  <c r="Z62" i="60" s="1"/>
  <c r="H110" i="68"/>
  <c r="N106" i="68"/>
  <c r="J106" i="68"/>
  <c r="J28" i="76"/>
  <c r="H32" i="76"/>
  <c r="D26" i="6"/>
  <c r="L22" i="6"/>
  <c r="N31" i="31"/>
  <c r="H36" i="31"/>
  <c r="N36" i="31" s="1"/>
  <c r="Z31" i="47"/>
  <c r="T36" i="47"/>
  <c r="Z36" i="47" s="1"/>
  <c r="X27" i="52"/>
  <c r="P31" i="52"/>
  <c r="T30" i="66"/>
  <c r="Z26" i="66"/>
  <c r="H61" i="86"/>
  <c r="P77" i="91"/>
  <c r="X74" i="91"/>
  <c r="R74" i="91"/>
  <c r="P36" i="23"/>
  <c r="D113" i="36"/>
  <c r="L25" i="36"/>
  <c r="N25" i="36" s="1"/>
  <c r="N27" i="23"/>
  <c r="H31" i="23"/>
  <c r="L27" i="29"/>
  <c r="D31" i="29"/>
  <c r="T92" i="88"/>
  <c r="V88" i="88"/>
  <c r="T178" i="3"/>
  <c r="V174" i="3"/>
  <c r="D31" i="4"/>
  <c r="L27" i="4"/>
  <c r="N27" i="5"/>
  <c r="H31" i="5"/>
  <c r="P36" i="35"/>
  <c r="P95" i="45"/>
  <c r="X23" i="45"/>
  <c r="Z23" i="45" s="1"/>
  <c r="H99" i="45"/>
  <c r="J95" i="45"/>
  <c r="P80" i="63"/>
  <c r="X29" i="63"/>
  <c r="Z29" i="63" s="1"/>
  <c r="D77" i="91"/>
  <c r="L74" i="91"/>
  <c r="F74" i="91"/>
  <c r="T31" i="4"/>
  <c r="Z27" i="4"/>
  <c r="L55" i="18"/>
  <c r="N55" i="18" s="1"/>
  <c r="D155" i="18"/>
  <c r="P36" i="34"/>
  <c r="X36" i="34" s="1"/>
  <c r="X31" i="34"/>
  <c r="D30" i="80"/>
  <c r="L26" i="80"/>
  <c r="N26" i="80" s="1"/>
  <c r="D36" i="93"/>
  <c r="T31" i="40"/>
  <c r="X31" i="40" s="1"/>
  <c r="Z27" i="40"/>
  <c r="X27" i="13"/>
  <c r="P31" i="13"/>
  <c r="H31" i="46"/>
  <c r="N27" i="46"/>
  <c r="D97" i="62"/>
  <c r="L93" i="62"/>
  <c r="X39" i="68"/>
  <c r="Z39" i="68" s="1"/>
  <c r="P106" i="68"/>
  <c r="P35" i="76"/>
  <c r="X32" i="76"/>
  <c r="Z32" i="76" s="1"/>
  <c r="R32" i="76"/>
  <c r="P54" i="83"/>
  <c r="X50" i="83"/>
  <c r="D31" i="41"/>
  <c r="L27" i="41"/>
  <c r="L27" i="53"/>
  <c r="N27" i="50"/>
  <c r="H31" i="50"/>
  <c r="P31" i="53"/>
  <c r="X27" i="53"/>
  <c r="N86" i="75"/>
  <c r="H90" i="75"/>
  <c r="J86" i="75"/>
  <c r="P82" i="74"/>
  <c r="X21" i="74"/>
  <c r="Z21" i="74" s="1"/>
  <c r="D31" i="94"/>
  <c r="L27" i="94"/>
  <c r="D31" i="14"/>
  <c r="L27" i="14"/>
  <c r="P92" i="21"/>
  <c r="X88" i="21"/>
  <c r="Z88" i="21" s="1"/>
  <c r="R88" i="21"/>
  <c r="P80" i="24"/>
  <c r="X29" i="24"/>
  <c r="Z29" i="24" s="1"/>
  <c r="D31" i="49"/>
  <c r="L27" i="49"/>
  <c r="L27" i="43"/>
  <c r="D31" i="43"/>
  <c r="H67" i="59"/>
  <c r="N64" i="59"/>
  <c r="H36" i="64"/>
  <c r="R30" i="65"/>
  <c r="D31" i="7"/>
  <c r="L27" i="7"/>
  <c r="P147" i="15"/>
  <c r="X49" i="15"/>
  <c r="Z49" i="15" s="1"/>
  <c r="P118" i="30"/>
  <c r="X39" i="30"/>
  <c r="Z39" i="30" s="1"/>
  <c r="L27" i="16"/>
  <c r="D31" i="16"/>
  <c r="D31" i="34"/>
  <c r="L27" i="34"/>
  <c r="P36" i="40"/>
  <c r="H64" i="61"/>
  <c r="T90" i="75"/>
  <c r="V86" i="75"/>
  <c r="T92" i="77"/>
  <c r="V88" i="77"/>
  <c r="P92" i="88"/>
  <c r="X88" i="88"/>
  <c r="Z88" i="88" s="1"/>
  <c r="R88" i="88"/>
  <c r="X27" i="29"/>
  <c r="P31" i="29"/>
  <c r="V93" i="65"/>
  <c r="P36" i="71"/>
  <c r="H92" i="77"/>
  <c r="J88" i="77"/>
  <c r="T61" i="86"/>
  <c r="X57" i="86"/>
  <c r="Z57" i="86" s="1"/>
  <c r="N31" i="92"/>
  <c r="H36" i="92"/>
  <c r="N36" i="92" s="1"/>
  <c r="D31" i="10"/>
  <c r="L27" i="10"/>
  <c r="D84" i="63"/>
  <c r="L80" i="63"/>
  <c r="N80" i="63" s="1"/>
  <c r="F80" i="63"/>
  <c r="R19" i="73"/>
  <c r="T54" i="83"/>
  <c r="Z50" i="83"/>
  <c r="N27" i="11"/>
  <c r="H31" i="11"/>
  <c r="H122" i="30"/>
  <c r="J118" i="30"/>
  <c r="P97" i="62"/>
  <c r="X93" i="62"/>
  <c r="Z93" i="62" s="1"/>
  <c r="X27" i="32"/>
  <c r="P31" i="32"/>
  <c r="H31" i="43"/>
  <c r="N27" i="43"/>
  <c r="T97" i="62"/>
  <c r="P86" i="82"/>
  <c r="X20" i="82"/>
  <c r="Z20" i="82" s="1"/>
  <c r="H31" i="90"/>
  <c r="N31" i="90" s="1"/>
  <c r="N28" i="90"/>
  <c r="T151" i="15"/>
  <c r="V147" i="15"/>
  <c r="Z27" i="31"/>
  <c r="T31" i="31"/>
  <c r="T82" i="51"/>
  <c r="V78" i="51"/>
  <c r="X78" i="51"/>
  <c r="Z78" i="51" s="1"/>
  <c r="P78" i="70"/>
  <c r="X30" i="70"/>
  <c r="Z30" i="70" s="1"/>
  <c r="D90" i="27"/>
  <c r="L86" i="27"/>
  <c r="N86" i="27" s="1"/>
  <c r="F86" i="27"/>
  <c r="D36" i="53"/>
  <c r="D62" i="60"/>
  <c r="L58" i="60"/>
  <c r="N58" i="60" s="1"/>
  <c r="F49" i="15"/>
  <c r="D31" i="23"/>
  <c r="L27" i="23"/>
  <c r="T31" i="50"/>
  <c r="Z27" i="50"/>
  <c r="D88" i="21"/>
  <c r="L22" i="21"/>
  <c r="N22" i="21" s="1"/>
  <c r="P86" i="27"/>
  <c r="X30" i="27"/>
  <c r="Z30" i="27" s="1"/>
  <c r="X27" i="40"/>
  <c r="Z27" i="43"/>
  <c r="T31" i="43"/>
  <c r="T78" i="58"/>
  <c r="Z74" i="58"/>
  <c r="P156" i="12"/>
  <c r="X52" i="12"/>
  <c r="Z52" i="12" s="1"/>
  <c r="T31" i="7"/>
  <c r="X31" i="7" s="1"/>
  <c r="Z27" i="7"/>
  <c r="Z27" i="13"/>
  <c r="T31" i="13"/>
  <c r="D78" i="51"/>
  <c r="L30" i="51"/>
  <c r="N30" i="51" s="1"/>
  <c r="T102" i="45"/>
  <c r="V99" i="45"/>
  <c r="X27" i="31"/>
  <c r="P31" i="31"/>
  <c r="D92" i="88"/>
  <c r="L88" i="88"/>
  <c r="N88" i="88" s="1"/>
  <c r="F88" i="88"/>
  <c r="P36" i="7"/>
  <c r="D80" i="24"/>
  <c r="L29" i="24"/>
  <c r="N29" i="24" s="1"/>
  <c r="X55" i="18"/>
  <c r="Z55" i="18" s="1"/>
  <c r="P155" i="18"/>
  <c r="P31" i="20"/>
  <c r="X27" i="20"/>
  <c r="H31" i="32"/>
  <c r="N27" i="32"/>
  <c r="L27" i="32"/>
  <c r="Z27" i="29"/>
  <c r="T31" i="29"/>
  <c r="N70" i="48"/>
  <c r="H74" i="48"/>
  <c r="J70" i="48"/>
  <c r="H31" i="71"/>
  <c r="N27" i="71"/>
  <c r="P77" i="72"/>
  <c r="D61" i="86"/>
  <c r="L57" i="86"/>
  <c r="N57" i="86" s="1"/>
  <c r="T77" i="91"/>
  <c r="Z74" i="91"/>
  <c r="V74" i="91"/>
  <c r="X31" i="10"/>
  <c r="P36" i="10"/>
  <c r="T31" i="19"/>
  <c r="Z27" i="19"/>
  <c r="L27" i="26"/>
  <c r="D31" i="26"/>
  <c r="D111" i="39"/>
  <c r="L107" i="39"/>
  <c r="N107" i="39" s="1"/>
  <c r="F107" i="39"/>
  <c r="F23" i="45"/>
  <c r="T31" i="94"/>
  <c r="X31" i="94" s="1"/>
  <c r="Z27" i="94"/>
  <c r="D31" i="19"/>
  <c r="L27" i="19"/>
  <c r="H31" i="47"/>
  <c r="L31" i="47" s="1"/>
  <c r="N27" i="47"/>
  <c r="T31" i="22"/>
  <c r="Z27" i="22"/>
  <c r="D118" i="30"/>
  <c r="L39" i="30"/>
  <c r="N39" i="30" s="1"/>
  <c r="N27" i="16"/>
  <c r="H31" i="16"/>
  <c r="H31" i="52"/>
  <c r="N27" i="52"/>
  <c r="H69" i="57"/>
  <c r="N65" i="57"/>
  <c r="H97" i="62"/>
  <c r="N93" i="62"/>
  <c r="D78" i="70"/>
  <c r="L30" i="70"/>
  <c r="N30" i="70" s="1"/>
  <c r="N26" i="66"/>
  <c r="H30" i="66"/>
  <c r="R30" i="70"/>
  <c r="T74" i="72"/>
  <c r="Z70" i="72"/>
  <c r="V70" i="72"/>
  <c r="D54" i="83"/>
  <c r="L50" i="83"/>
  <c r="D31" i="8"/>
  <c r="L27" i="8"/>
  <c r="Z27" i="17"/>
  <c r="T31" i="17"/>
  <c r="P71" i="33"/>
  <c r="X22" i="33"/>
  <c r="Z22" i="33" s="1"/>
  <c r="R22" i="33"/>
  <c r="P36" i="37"/>
  <c r="T77" i="48"/>
  <c r="Z74" i="48"/>
  <c r="V74" i="48"/>
  <c r="X27" i="44"/>
  <c r="P31" i="44"/>
  <c r="T111" i="39"/>
  <c r="V107" i="39"/>
  <c r="D26" i="54"/>
  <c r="L22" i="54"/>
  <c r="H96" i="81"/>
  <c r="J92" i="81"/>
  <c r="L27" i="5"/>
  <c r="D31" i="5"/>
  <c r="F22" i="21"/>
  <c r="N27" i="19"/>
  <c r="H31" i="19"/>
  <c r="N27" i="28"/>
  <c r="H31" i="28"/>
  <c r="H117" i="36"/>
  <c r="J113" i="36"/>
  <c r="H114" i="39"/>
  <c r="J111" i="39"/>
  <c r="T35" i="55"/>
  <c r="Z31" i="55"/>
  <c r="T69" i="56"/>
  <c r="Z65" i="56"/>
  <c r="D30" i="66"/>
  <c r="L26" i="66"/>
  <c r="X26" i="80"/>
  <c r="Z26" i="80" s="1"/>
  <c r="T96" i="81"/>
  <c r="V92" i="81"/>
  <c r="P89" i="87"/>
  <c r="X85" i="87"/>
  <c r="Z85" i="87" s="1"/>
  <c r="R85" i="87"/>
  <c r="X61" i="3"/>
  <c r="Z61" i="3" s="1"/>
  <c r="P174" i="3"/>
  <c r="X27" i="25"/>
  <c r="P31" i="25"/>
  <c r="D36" i="47"/>
  <c r="T113" i="68"/>
  <c r="V110" i="68"/>
  <c r="D92" i="77"/>
  <c r="L88" i="77"/>
  <c r="N88" i="77" s="1"/>
  <c r="F88" i="77"/>
  <c r="D28" i="90"/>
  <c r="L24" i="90"/>
  <c r="T160" i="12"/>
  <c r="V156" i="12"/>
  <c r="H92" i="21"/>
  <c r="J88" i="21"/>
  <c r="T30" i="84"/>
  <c r="P36" i="93"/>
  <c r="X31" i="93"/>
  <c r="H160" i="12"/>
  <c r="J156" i="12"/>
  <c r="D36" i="64"/>
  <c r="L36" i="64" s="1"/>
  <c r="L33" i="64"/>
  <c r="N33" i="64" s="1"/>
  <c r="D71" i="69"/>
  <c r="L22" i="69"/>
  <c r="N22" i="69" s="1"/>
  <c r="D28" i="76"/>
  <c r="L20" i="76"/>
  <c r="N20" i="76" s="1"/>
  <c r="T36" i="53"/>
  <c r="Z36" i="53" s="1"/>
  <c r="Z31" i="53"/>
  <c r="J95" i="88"/>
  <c r="Z87" i="89"/>
  <c r="T91" i="89"/>
  <c r="V87" i="89"/>
  <c r="Z31" i="93"/>
  <c r="T36" i="93"/>
  <c r="Z36" i="93" s="1"/>
  <c r="L27" i="46"/>
  <c r="D31" i="46"/>
  <c r="L67" i="59"/>
  <c r="H31" i="85"/>
  <c r="L27" i="85"/>
  <c r="N27" i="85" s="1"/>
  <c r="H31" i="40"/>
  <c r="N27" i="40"/>
  <c r="X27" i="37"/>
  <c r="Z27" i="92"/>
  <c r="T31" i="92"/>
  <c r="N27" i="94"/>
  <c r="H31" i="94"/>
  <c r="L52" i="12"/>
  <c r="N52" i="12" s="1"/>
  <c r="D156" i="12"/>
  <c r="N27" i="4"/>
  <c r="H31" i="4"/>
  <c r="X27" i="22"/>
  <c r="P31" i="22"/>
  <c r="H31" i="26"/>
  <c r="N27" i="26"/>
  <c r="R24" i="39"/>
  <c r="Z27" i="52"/>
  <c r="T31" i="52"/>
  <c r="N65" i="56"/>
  <c r="H69" i="56"/>
  <c r="T61" i="61"/>
  <c r="X57" i="61"/>
  <c r="Z57" i="61" s="1"/>
  <c r="H90" i="65"/>
  <c r="N86" i="65"/>
  <c r="J86" i="65"/>
  <c r="T31" i="71"/>
  <c r="Z27" i="71"/>
  <c r="R49" i="15"/>
  <c r="R39" i="30"/>
  <c r="H31" i="34"/>
  <c r="N27" i="34"/>
  <c r="N31" i="55"/>
  <c r="H35" i="55"/>
  <c r="X30" i="80"/>
  <c r="P33" i="80"/>
  <c r="H31" i="13"/>
  <c r="N27" i="13"/>
  <c r="T31" i="14"/>
  <c r="Z27" i="14"/>
  <c r="H31" i="44"/>
  <c r="L31" i="44" s="1"/>
  <c r="N27" i="44"/>
  <c r="T29" i="73"/>
  <c r="V25" i="73"/>
  <c r="R23" i="81"/>
  <c r="X26" i="84"/>
  <c r="Z26" i="84" s="1"/>
  <c r="P30" i="84"/>
  <c r="F25" i="36"/>
  <c r="N27" i="17"/>
  <c r="H31" i="17"/>
  <c r="V80" i="63"/>
  <c r="T84" i="63"/>
  <c r="H178" i="3"/>
  <c r="J174" i="3"/>
  <c r="P31" i="16"/>
  <c r="X27" i="16"/>
  <c r="D75" i="33"/>
  <c r="L71" i="33"/>
  <c r="N71" i="33" s="1"/>
  <c r="F71" i="33"/>
  <c r="D107" i="42"/>
  <c r="L103" i="42"/>
  <c r="N103" i="42" s="1"/>
  <c r="F103" i="42"/>
  <c r="D36" i="44"/>
  <c r="H82" i="51"/>
  <c r="J78" i="51"/>
  <c r="H74" i="72"/>
  <c r="N70" i="72"/>
  <c r="J70" i="72"/>
  <c r="D30" i="84"/>
  <c r="L26" i="84"/>
  <c r="N26" i="84" s="1"/>
  <c r="X27" i="92"/>
  <c r="P31" i="92"/>
  <c r="P26" i="6"/>
  <c r="X22" i="6"/>
  <c r="P31" i="17"/>
  <c r="X27" i="17"/>
  <c r="T75" i="33"/>
  <c r="V71" i="33"/>
  <c r="D31" i="37"/>
  <c r="L27" i="37"/>
  <c r="D92" i="81"/>
  <c r="L23" i="81"/>
  <c r="N23" i="81" s="1"/>
  <c r="N31" i="41" l="1"/>
  <c r="N31" i="38"/>
  <c r="D36" i="92"/>
  <c r="L36" i="92" s="1"/>
  <c r="X36" i="10"/>
  <c r="X36" i="93"/>
  <c r="H36" i="20"/>
  <c r="N36" i="20" s="1"/>
  <c r="N31" i="20"/>
  <c r="D36" i="20"/>
  <c r="L31" i="20"/>
  <c r="H36" i="17"/>
  <c r="N36" i="17" s="1"/>
  <c r="N31" i="17"/>
  <c r="T32" i="73"/>
  <c r="V29" i="73"/>
  <c r="T64" i="61"/>
  <c r="Z61" i="61"/>
  <c r="X61" i="61"/>
  <c r="P36" i="22"/>
  <c r="X31" i="22"/>
  <c r="T36" i="92"/>
  <c r="Z36" i="92" s="1"/>
  <c r="Z31" i="92"/>
  <c r="T33" i="84"/>
  <c r="Z30" i="84"/>
  <c r="P92" i="87"/>
  <c r="X89" i="87"/>
  <c r="R89" i="87"/>
  <c r="T72" i="56"/>
  <c r="Z69" i="56"/>
  <c r="P36" i="44"/>
  <c r="X36" i="44" s="1"/>
  <c r="X31" i="44"/>
  <c r="D36" i="19"/>
  <c r="L31" i="19"/>
  <c r="P159" i="18"/>
  <c r="X155" i="18"/>
  <c r="Z155" i="18" s="1"/>
  <c r="R155" i="18"/>
  <c r="D92" i="21"/>
  <c r="L88" i="21"/>
  <c r="N88" i="21" s="1"/>
  <c r="F88" i="21"/>
  <c r="D93" i="27"/>
  <c r="L90" i="27"/>
  <c r="F90" i="27"/>
  <c r="T100" i="62"/>
  <c r="T57" i="83"/>
  <c r="Z57" i="83" s="1"/>
  <c r="Z54" i="83"/>
  <c r="N36" i="64"/>
  <c r="P84" i="24"/>
  <c r="X80" i="24"/>
  <c r="Z80" i="24" s="1"/>
  <c r="R80" i="24"/>
  <c r="X35" i="76"/>
  <c r="R35" i="76"/>
  <c r="P36" i="13"/>
  <c r="X31" i="13"/>
  <c r="F77" i="91"/>
  <c r="P99" i="45"/>
  <c r="X95" i="45"/>
  <c r="Z95" i="45" s="1"/>
  <c r="R95" i="45"/>
  <c r="T183" i="3"/>
  <c r="V178" i="3"/>
  <c r="T85" i="70"/>
  <c r="V82" i="70"/>
  <c r="X69" i="56"/>
  <c r="P111" i="39"/>
  <c r="X107" i="39"/>
  <c r="Z107" i="39" s="1"/>
  <c r="R107" i="39"/>
  <c r="T36" i="46"/>
  <c r="Z36" i="46" s="1"/>
  <c r="Z31" i="46"/>
  <c r="H35" i="79"/>
  <c r="D36" i="17"/>
  <c r="L31" i="17"/>
  <c r="P80" i="78"/>
  <c r="X80" i="78" s="1"/>
  <c r="Z80" i="78" s="1"/>
  <c r="X77" i="78"/>
  <c r="Z77" i="78" s="1"/>
  <c r="X31" i="11"/>
  <c r="P36" i="11"/>
  <c r="H78" i="69"/>
  <c r="J75" i="69"/>
  <c r="H36" i="22"/>
  <c r="N36" i="22" s="1"/>
  <c r="N31" i="22"/>
  <c r="T92" i="87"/>
  <c r="Z89" i="87"/>
  <c r="V89" i="87"/>
  <c r="T36" i="41"/>
  <c r="Z36" i="41" s="1"/>
  <c r="Z31" i="41"/>
  <c r="Z31" i="37"/>
  <c r="T36" i="37"/>
  <c r="Z36" i="37" s="1"/>
  <c r="D36" i="37"/>
  <c r="L31" i="37"/>
  <c r="H72" i="56"/>
  <c r="D36" i="46"/>
  <c r="L31" i="46"/>
  <c r="L28" i="90"/>
  <c r="D31" i="90"/>
  <c r="L31" i="90" s="1"/>
  <c r="H36" i="28"/>
  <c r="N36" i="28" s="1"/>
  <c r="N31" i="28"/>
  <c r="P75" i="33"/>
  <c r="X71" i="33"/>
  <c r="Z71" i="33" s="1"/>
  <c r="R71" i="33"/>
  <c r="H100" i="62"/>
  <c r="D122" i="30"/>
  <c r="L118" i="30"/>
  <c r="N118" i="30" s="1"/>
  <c r="F118" i="30"/>
  <c r="D64" i="86"/>
  <c r="L64" i="86" s="1"/>
  <c r="L61" i="86"/>
  <c r="N61" i="86" s="1"/>
  <c r="T36" i="29"/>
  <c r="Z36" i="29" s="1"/>
  <c r="Z31" i="29"/>
  <c r="D95" i="88"/>
  <c r="L92" i="88"/>
  <c r="N92" i="88" s="1"/>
  <c r="F92" i="88"/>
  <c r="D82" i="51"/>
  <c r="L78" i="51"/>
  <c r="N78" i="51" s="1"/>
  <c r="F78" i="51"/>
  <c r="T81" i="58"/>
  <c r="N64" i="61"/>
  <c r="X118" i="30"/>
  <c r="Z118" i="30" s="1"/>
  <c r="P122" i="30"/>
  <c r="R118" i="30"/>
  <c r="P86" i="74"/>
  <c r="X82" i="74"/>
  <c r="Z82" i="74" s="1"/>
  <c r="R82" i="74"/>
  <c r="P110" i="68"/>
  <c r="X106" i="68"/>
  <c r="Z106" i="68" s="1"/>
  <c r="R106" i="68"/>
  <c r="H64" i="86"/>
  <c r="H113" i="68"/>
  <c r="J110" i="68"/>
  <c r="P90" i="65"/>
  <c r="X86" i="65"/>
  <c r="Z86" i="65" s="1"/>
  <c r="R86" i="65"/>
  <c r="H36" i="10"/>
  <c r="N36" i="10" s="1"/>
  <c r="N31" i="10"/>
  <c r="N74" i="91"/>
  <c r="H77" i="91"/>
  <c r="L77" i="91" s="1"/>
  <c r="J74" i="91"/>
  <c r="P36" i="8"/>
  <c r="X31" i="8"/>
  <c r="P94" i="89"/>
  <c r="X91" i="89"/>
  <c r="R91" i="89"/>
  <c r="X72" i="56"/>
  <c r="D92" i="87"/>
  <c r="L89" i="87"/>
  <c r="F89" i="87"/>
  <c r="T102" i="9"/>
  <c r="Z99" i="9"/>
  <c r="X99" i="9"/>
  <c r="H110" i="42"/>
  <c r="J107" i="42"/>
  <c r="H36" i="8"/>
  <c r="N36" i="8" s="1"/>
  <c r="N31" i="8"/>
  <c r="T89" i="74"/>
  <c r="V86" i="74"/>
  <c r="P31" i="90"/>
  <c r="X31" i="90" s="1"/>
  <c r="X28" i="90"/>
  <c r="T120" i="36"/>
  <c r="V117" i="36"/>
  <c r="D81" i="58"/>
  <c r="L81" i="58" s="1"/>
  <c r="L78" i="58"/>
  <c r="N78" i="58" s="1"/>
  <c r="H154" i="15"/>
  <c r="J151" i="15"/>
  <c r="P36" i="64"/>
  <c r="X36" i="64" s="1"/>
  <c r="Z36" i="64" s="1"/>
  <c r="X33" i="64"/>
  <c r="Z33" i="64" s="1"/>
  <c r="T36" i="26"/>
  <c r="Z36" i="26" s="1"/>
  <c r="Z31" i="26"/>
  <c r="T78" i="33"/>
  <c r="V75" i="33"/>
  <c r="D33" i="84"/>
  <c r="L33" i="84" s="1"/>
  <c r="L30" i="84"/>
  <c r="N30" i="84" s="1"/>
  <c r="P36" i="16"/>
  <c r="X31" i="16"/>
  <c r="H38" i="55"/>
  <c r="H36" i="44"/>
  <c r="N36" i="44" s="1"/>
  <c r="N31" i="44"/>
  <c r="T36" i="71"/>
  <c r="Z36" i="71" s="1"/>
  <c r="Z31" i="71"/>
  <c r="H36" i="4"/>
  <c r="N36" i="4" s="1"/>
  <c r="N31" i="4"/>
  <c r="P36" i="25"/>
  <c r="X31" i="25"/>
  <c r="T99" i="81"/>
  <c r="V96" i="81"/>
  <c r="T38" i="55"/>
  <c r="H99" i="81"/>
  <c r="J96" i="81"/>
  <c r="T36" i="17"/>
  <c r="Z36" i="17" s="1"/>
  <c r="Z31" i="17"/>
  <c r="T77" i="72"/>
  <c r="Z74" i="72"/>
  <c r="V74" i="72"/>
  <c r="T36" i="94"/>
  <c r="Z36" i="94" s="1"/>
  <c r="Z31" i="94"/>
  <c r="T36" i="19"/>
  <c r="Z36" i="19" s="1"/>
  <c r="Z31" i="19"/>
  <c r="X74" i="72"/>
  <c r="P36" i="31"/>
  <c r="X31" i="31"/>
  <c r="Z31" i="13"/>
  <c r="T36" i="13"/>
  <c r="Z36" i="13" s="1"/>
  <c r="T36" i="43"/>
  <c r="Z36" i="43" s="1"/>
  <c r="Z31" i="43"/>
  <c r="D65" i="60"/>
  <c r="L62" i="60"/>
  <c r="N62" i="60" s="1"/>
  <c r="P82" i="70"/>
  <c r="X78" i="70"/>
  <c r="Z78" i="70" s="1"/>
  <c r="R78" i="70"/>
  <c r="T154" i="15"/>
  <c r="V151" i="15"/>
  <c r="T95" i="77"/>
  <c r="V92" i="77"/>
  <c r="N67" i="59"/>
  <c r="D159" i="18"/>
  <c r="L155" i="18"/>
  <c r="N155" i="18" s="1"/>
  <c r="F155" i="18"/>
  <c r="D117" i="36"/>
  <c r="L113" i="36"/>
  <c r="N113" i="36" s="1"/>
  <c r="F113" i="36"/>
  <c r="T34" i="85"/>
  <c r="X31" i="85"/>
  <c r="Z31" i="85" s="1"/>
  <c r="D36" i="22"/>
  <c r="L31" i="22"/>
  <c r="P36" i="5"/>
  <c r="X31" i="5"/>
  <c r="H36" i="37"/>
  <c r="N36" i="37" s="1"/>
  <c r="N31" i="37"/>
  <c r="N81" i="58"/>
  <c r="L31" i="40"/>
  <c r="D36" i="40"/>
  <c r="X31" i="19"/>
  <c r="T78" i="69"/>
  <c r="V75" i="69"/>
  <c r="P36" i="26"/>
  <c r="X31" i="26"/>
  <c r="P81" i="58"/>
  <c r="X81" i="58" s="1"/>
  <c r="X78" i="58"/>
  <c r="Z78" i="58" s="1"/>
  <c r="T33" i="80"/>
  <c r="Z30" i="80"/>
  <c r="D29" i="73"/>
  <c r="L25" i="73"/>
  <c r="N25" i="73" s="1"/>
  <c r="F25" i="73"/>
  <c r="T36" i="35"/>
  <c r="Z36" i="35" s="1"/>
  <c r="Z31" i="35"/>
  <c r="D93" i="75"/>
  <c r="L90" i="75"/>
  <c r="F90" i="75"/>
  <c r="D93" i="82"/>
  <c r="L93" i="82" s="1"/>
  <c r="L90" i="82"/>
  <c r="N90" i="82" s="1"/>
  <c r="P36" i="47"/>
  <c r="X36" i="47" s="1"/>
  <c r="X31" i="47"/>
  <c r="T72" i="57"/>
  <c r="X69" i="57"/>
  <c r="Z69" i="57" s="1"/>
  <c r="P33" i="84"/>
  <c r="X33" i="84" s="1"/>
  <c r="X30" i="84"/>
  <c r="T36" i="52"/>
  <c r="Z36" i="52" s="1"/>
  <c r="Z31" i="52"/>
  <c r="H95" i="21"/>
  <c r="J92" i="21"/>
  <c r="H36" i="19"/>
  <c r="N36" i="19" s="1"/>
  <c r="N31" i="19"/>
  <c r="H72" i="57"/>
  <c r="Z31" i="22"/>
  <c r="T36" i="22"/>
  <c r="Z36" i="22" s="1"/>
  <c r="X77" i="72"/>
  <c r="D84" i="24"/>
  <c r="L80" i="24"/>
  <c r="N80" i="24" s="1"/>
  <c r="F80" i="24"/>
  <c r="N31" i="43"/>
  <c r="H36" i="43"/>
  <c r="N36" i="43" s="1"/>
  <c r="T64" i="86"/>
  <c r="Z61" i="86"/>
  <c r="X61" i="86"/>
  <c r="P36" i="29"/>
  <c r="X31" i="29"/>
  <c r="P151" i="15"/>
  <c r="X147" i="15"/>
  <c r="Z147" i="15" s="1"/>
  <c r="R147" i="15"/>
  <c r="D36" i="43"/>
  <c r="L31" i="43"/>
  <c r="P95" i="21"/>
  <c r="X92" i="21"/>
  <c r="Z92" i="21" s="1"/>
  <c r="R92" i="21"/>
  <c r="H93" i="75"/>
  <c r="N90" i="75"/>
  <c r="J90" i="75"/>
  <c r="D36" i="41"/>
  <c r="L36" i="41" s="1"/>
  <c r="L31" i="41"/>
  <c r="Z31" i="40"/>
  <c r="T36" i="40"/>
  <c r="Z36" i="40" s="1"/>
  <c r="X80" i="63"/>
  <c r="Z80" i="63" s="1"/>
  <c r="P84" i="63"/>
  <c r="R80" i="63"/>
  <c r="H36" i="5"/>
  <c r="N36" i="5" s="1"/>
  <c r="N31" i="5"/>
  <c r="T33" i="66"/>
  <c r="Z33" i="66" s="1"/>
  <c r="Z30" i="66"/>
  <c r="D31" i="6"/>
  <c r="L31" i="6" s="1"/>
  <c r="N31" i="6" s="1"/>
  <c r="L26" i="6"/>
  <c r="D178" i="3"/>
  <c r="L174" i="3"/>
  <c r="N174" i="3" s="1"/>
  <c r="F174" i="3"/>
  <c r="D35" i="79"/>
  <c r="L35" i="79" s="1"/>
  <c r="L32" i="79"/>
  <c r="N32" i="79" s="1"/>
  <c r="X35" i="79"/>
  <c r="N90" i="27"/>
  <c r="H93" i="27"/>
  <c r="J90" i="27"/>
  <c r="T93" i="82"/>
  <c r="V90" i="82"/>
  <c r="H33" i="80"/>
  <c r="N30" i="80"/>
  <c r="T36" i="23"/>
  <c r="Z36" i="23" s="1"/>
  <c r="Z31" i="23"/>
  <c r="X31" i="50"/>
  <c r="P36" i="50"/>
  <c r="N31" i="35"/>
  <c r="H36" i="35"/>
  <c r="N36" i="35" s="1"/>
  <c r="H162" i="18"/>
  <c r="J159" i="18"/>
  <c r="N33" i="84"/>
  <c r="H65" i="60"/>
  <c r="L147" i="15"/>
  <c r="N147" i="15" s="1"/>
  <c r="D151" i="15"/>
  <c r="F147" i="15"/>
  <c r="H87" i="63"/>
  <c r="J84" i="63"/>
  <c r="Z35" i="76"/>
  <c r="V35" i="76"/>
  <c r="T93" i="27"/>
  <c r="V90" i="27"/>
  <c r="L90" i="65"/>
  <c r="D93" i="65"/>
  <c r="F90" i="65"/>
  <c r="X26" i="54"/>
  <c r="P31" i="54"/>
  <c r="L92" i="81"/>
  <c r="N92" i="81" s="1"/>
  <c r="D96" i="81"/>
  <c r="F92" i="81"/>
  <c r="H77" i="72"/>
  <c r="J74" i="72"/>
  <c r="D110" i="42"/>
  <c r="L107" i="42"/>
  <c r="N107" i="42" s="1"/>
  <c r="F107" i="42"/>
  <c r="H183" i="3"/>
  <c r="J178" i="3"/>
  <c r="T36" i="14"/>
  <c r="Z36" i="14" s="1"/>
  <c r="Z31" i="14"/>
  <c r="H36" i="34"/>
  <c r="N36" i="34" s="1"/>
  <c r="N31" i="34"/>
  <c r="D160" i="12"/>
  <c r="L156" i="12"/>
  <c r="N156" i="12" s="1"/>
  <c r="F156" i="12"/>
  <c r="H36" i="40"/>
  <c r="N36" i="40" s="1"/>
  <c r="N31" i="40"/>
  <c r="H163" i="12"/>
  <c r="J160" i="12"/>
  <c r="D95" i="77"/>
  <c r="L92" i="77"/>
  <c r="F92" i="77"/>
  <c r="P178" i="3"/>
  <c r="X174" i="3"/>
  <c r="Z174" i="3" s="1"/>
  <c r="R174" i="3"/>
  <c r="D31" i="54"/>
  <c r="L31" i="54" s="1"/>
  <c r="L26" i="54"/>
  <c r="V77" i="48"/>
  <c r="H33" i="66"/>
  <c r="N33" i="66" s="1"/>
  <c r="N30" i="66"/>
  <c r="T36" i="50"/>
  <c r="Z36" i="50" s="1"/>
  <c r="Z31" i="50"/>
  <c r="P36" i="32"/>
  <c r="X36" i="32" s="1"/>
  <c r="X31" i="32"/>
  <c r="H125" i="30"/>
  <c r="J122" i="30"/>
  <c r="D87" i="63"/>
  <c r="L84" i="63"/>
  <c r="N84" i="63" s="1"/>
  <c r="F84" i="63"/>
  <c r="T95" i="88"/>
  <c r="V92" i="88"/>
  <c r="P36" i="52"/>
  <c r="X31" i="52"/>
  <c r="H35" i="76"/>
  <c r="J32" i="76"/>
  <c r="Z32" i="79"/>
  <c r="T35" i="79"/>
  <c r="P67" i="59"/>
  <c r="X64" i="59"/>
  <c r="Z64" i="59" s="1"/>
  <c r="H36" i="49"/>
  <c r="N36" i="49" s="1"/>
  <c r="N31" i="49"/>
  <c r="D99" i="45"/>
  <c r="L95" i="45"/>
  <c r="N95" i="45" s="1"/>
  <c r="F95" i="45"/>
  <c r="D36" i="71"/>
  <c r="L31" i="71"/>
  <c r="X25" i="73"/>
  <c r="Z25" i="73" s="1"/>
  <c r="P29" i="73"/>
  <c r="R25" i="73"/>
  <c r="D36" i="13"/>
  <c r="L31" i="13"/>
  <c r="T31" i="54"/>
  <c r="Z26" i="54"/>
  <c r="T36" i="25"/>
  <c r="Z36" i="25" s="1"/>
  <c r="Z31" i="25"/>
  <c r="T162" i="18"/>
  <c r="V159" i="18"/>
  <c r="Z31" i="11"/>
  <c r="T36" i="11"/>
  <c r="Z36" i="11" s="1"/>
  <c r="D36" i="35"/>
  <c r="L31" i="35"/>
  <c r="D102" i="9"/>
  <c r="L99" i="9"/>
  <c r="P31" i="6"/>
  <c r="X31" i="6" s="1"/>
  <c r="X26" i="6"/>
  <c r="T87" i="63"/>
  <c r="V84" i="63"/>
  <c r="H93" i="65"/>
  <c r="N90" i="65"/>
  <c r="J90" i="65"/>
  <c r="D32" i="76"/>
  <c r="L28" i="76"/>
  <c r="N28" i="76" s="1"/>
  <c r="F28" i="76"/>
  <c r="J114" i="39"/>
  <c r="D36" i="8"/>
  <c r="L31" i="8"/>
  <c r="N31" i="52"/>
  <c r="H36" i="52"/>
  <c r="N36" i="52" s="1"/>
  <c r="H36" i="71"/>
  <c r="N36" i="71" s="1"/>
  <c r="N31" i="71"/>
  <c r="N31" i="32"/>
  <c r="H36" i="32"/>
  <c r="L31" i="32"/>
  <c r="T36" i="7"/>
  <c r="Z36" i="7" s="1"/>
  <c r="Z31" i="7"/>
  <c r="H36" i="11"/>
  <c r="N36" i="11" s="1"/>
  <c r="N31" i="11"/>
  <c r="T93" i="75"/>
  <c r="V90" i="75"/>
  <c r="D36" i="34"/>
  <c r="L31" i="34"/>
  <c r="D36" i="7"/>
  <c r="L31" i="7"/>
  <c r="D36" i="14"/>
  <c r="L31" i="14"/>
  <c r="P57" i="83"/>
  <c r="X57" i="83" s="1"/>
  <c r="X54" i="83"/>
  <c r="L97" i="62"/>
  <c r="N97" i="62" s="1"/>
  <c r="D100" i="62"/>
  <c r="T36" i="4"/>
  <c r="Z36" i="4" s="1"/>
  <c r="Z31" i="4"/>
  <c r="D36" i="29"/>
  <c r="L36" i="29" s="1"/>
  <c r="L31" i="29"/>
  <c r="D38" i="55"/>
  <c r="L38" i="55" s="1"/>
  <c r="L35" i="55"/>
  <c r="N35" i="55" s="1"/>
  <c r="H89" i="74"/>
  <c r="J86" i="74"/>
  <c r="P120" i="36"/>
  <c r="X117" i="36"/>
  <c r="Z117" i="36" s="1"/>
  <c r="R117" i="36"/>
  <c r="Z65" i="60"/>
  <c r="H85" i="70"/>
  <c r="J82" i="70"/>
  <c r="P36" i="43"/>
  <c r="X31" i="43"/>
  <c r="D72" i="56"/>
  <c r="L72" i="56" s="1"/>
  <c r="L69" i="56"/>
  <c r="N69" i="56" s="1"/>
  <c r="N31" i="14"/>
  <c r="H36" i="14"/>
  <c r="N36" i="14" s="1"/>
  <c r="T36" i="28"/>
  <c r="Z31" i="28"/>
  <c r="X31" i="28"/>
  <c r="P96" i="81"/>
  <c r="X92" i="81"/>
  <c r="Z92" i="81" s="1"/>
  <c r="R92" i="81"/>
  <c r="T36" i="5"/>
  <c r="Z36" i="5" s="1"/>
  <c r="Z31" i="5"/>
  <c r="T36" i="8"/>
  <c r="Z36" i="8" s="1"/>
  <c r="Z31" i="8"/>
  <c r="J32" i="73"/>
  <c r="H80" i="78"/>
  <c r="L77" i="78"/>
  <c r="N77" i="78" s="1"/>
  <c r="D91" i="89"/>
  <c r="L87" i="89"/>
  <c r="N87" i="89" s="1"/>
  <c r="F87" i="89"/>
  <c r="N93" i="82"/>
  <c r="J93" i="82"/>
  <c r="N31" i="54"/>
  <c r="D36" i="50"/>
  <c r="L31" i="50"/>
  <c r="P36" i="17"/>
  <c r="X31" i="17"/>
  <c r="H36" i="13"/>
  <c r="N36" i="13" s="1"/>
  <c r="N31" i="13"/>
  <c r="H36" i="94"/>
  <c r="N36" i="94" s="1"/>
  <c r="N31" i="94"/>
  <c r="T94" i="89"/>
  <c r="Z91" i="89"/>
  <c r="V91" i="89"/>
  <c r="D33" i="66"/>
  <c r="L30" i="66"/>
  <c r="D36" i="5"/>
  <c r="L31" i="5"/>
  <c r="H36" i="16"/>
  <c r="N36" i="16" s="1"/>
  <c r="N31" i="16"/>
  <c r="H36" i="47"/>
  <c r="N36" i="47" s="1"/>
  <c r="N31" i="47"/>
  <c r="D114" i="39"/>
  <c r="L111" i="39"/>
  <c r="N111" i="39" s="1"/>
  <c r="F111" i="39"/>
  <c r="V102" i="45"/>
  <c r="P90" i="27"/>
  <c r="X86" i="27"/>
  <c r="Z86" i="27" s="1"/>
  <c r="R86" i="27"/>
  <c r="D36" i="23"/>
  <c r="L31" i="23"/>
  <c r="Z82" i="51"/>
  <c r="T85" i="51"/>
  <c r="V82" i="51"/>
  <c r="X82" i="51"/>
  <c r="D36" i="10"/>
  <c r="L31" i="10"/>
  <c r="N92" i="77"/>
  <c r="H95" i="77"/>
  <c r="J92" i="77"/>
  <c r="D36" i="16"/>
  <c r="L31" i="16"/>
  <c r="D36" i="49"/>
  <c r="L31" i="49"/>
  <c r="P36" i="53"/>
  <c r="X36" i="53" s="1"/>
  <c r="X31" i="53"/>
  <c r="H102" i="45"/>
  <c r="J99" i="45"/>
  <c r="D36" i="4"/>
  <c r="L31" i="4"/>
  <c r="X77" i="48"/>
  <c r="Z77" i="48" s="1"/>
  <c r="P36" i="4"/>
  <c r="X31" i="4"/>
  <c r="D36" i="52"/>
  <c r="L31" i="52"/>
  <c r="X35" i="55"/>
  <c r="Z35" i="55" s="1"/>
  <c r="X30" i="66"/>
  <c r="X31" i="14"/>
  <c r="P36" i="46"/>
  <c r="X31" i="46"/>
  <c r="D77" i="72"/>
  <c r="L77" i="72" s="1"/>
  <c r="L74" i="72"/>
  <c r="N74" i="72" s="1"/>
  <c r="H94" i="89"/>
  <c r="J91" i="89"/>
  <c r="T67" i="59"/>
  <c r="D36" i="11"/>
  <c r="L31" i="11"/>
  <c r="D72" i="57"/>
  <c r="L72" i="57" s="1"/>
  <c r="L69" i="57"/>
  <c r="N69" i="57" s="1"/>
  <c r="D77" i="48"/>
  <c r="L74" i="48"/>
  <c r="F74" i="48"/>
  <c r="D86" i="74"/>
  <c r="L82" i="74"/>
  <c r="N82" i="74" s="1"/>
  <c r="F82" i="74"/>
  <c r="P110" i="42"/>
  <c r="X107" i="42"/>
  <c r="R107" i="42"/>
  <c r="D36" i="38"/>
  <c r="L36" i="38" s="1"/>
  <c r="L31" i="38"/>
  <c r="P90" i="75"/>
  <c r="X86" i="75"/>
  <c r="Z86" i="75" s="1"/>
  <c r="R86" i="75"/>
  <c r="P92" i="77"/>
  <c r="X88" i="77"/>
  <c r="Z88" i="77" s="1"/>
  <c r="R88" i="77"/>
  <c r="H36" i="7"/>
  <c r="N36" i="7" s="1"/>
  <c r="N31" i="7"/>
  <c r="Z107" i="42"/>
  <c r="T110" i="42"/>
  <c r="V107" i="42"/>
  <c r="P36" i="92"/>
  <c r="X31" i="92"/>
  <c r="H34" i="85"/>
  <c r="N31" i="85"/>
  <c r="L31" i="85"/>
  <c r="H85" i="51"/>
  <c r="J82" i="51"/>
  <c r="D78" i="33"/>
  <c r="L75" i="33"/>
  <c r="N75" i="33" s="1"/>
  <c r="F75" i="33"/>
  <c r="X33" i="80"/>
  <c r="N31" i="26"/>
  <c r="H36" i="26"/>
  <c r="N36" i="26" s="1"/>
  <c r="L71" i="69"/>
  <c r="N71" i="69" s="1"/>
  <c r="D75" i="69"/>
  <c r="F71" i="69"/>
  <c r="T163" i="12"/>
  <c r="V160" i="12"/>
  <c r="V113" i="68"/>
  <c r="H120" i="36"/>
  <c r="J117" i="36"/>
  <c r="T114" i="39"/>
  <c r="V111" i="39"/>
  <c r="D57" i="83"/>
  <c r="L57" i="83" s="1"/>
  <c r="L54" i="83"/>
  <c r="D82" i="70"/>
  <c r="L78" i="70"/>
  <c r="N78" i="70" s="1"/>
  <c r="F78" i="70"/>
  <c r="D36" i="26"/>
  <c r="L31" i="26"/>
  <c r="V77" i="91"/>
  <c r="H77" i="48"/>
  <c r="N74" i="48"/>
  <c r="J74" i="48"/>
  <c r="P36" i="20"/>
  <c r="X36" i="20" s="1"/>
  <c r="X31" i="20"/>
  <c r="P160" i="12"/>
  <c r="X156" i="12"/>
  <c r="Z156" i="12" s="1"/>
  <c r="R156" i="12"/>
  <c r="T36" i="31"/>
  <c r="Z36" i="31" s="1"/>
  <c r="Z31" i="31"/>
  <c r="P90" i="82"/>
  <c r="X86" i="82"/>
  <c r="Z86" i="82" s="1"/>
  <c r="P100" i="62"/>
  <c r="X100" i="62" s="1"/>
  <c r="X97" i="62"/>
  <c r="Z97" i="62" s="1"/>
  <c r="X31" i="71"/>
  <c r="X92" i="88"/>
  <c r="Z92" i="88" s="1"/>
  <c r="P95" i="88"/>
  <c r="R92" i="88"/>
  <c r="L31" i="94"/>
  <c r="D36" i="94"/>
  <c r="H36" i="50"/>
  <c r="N36" i="50" s="1"/>
  <c r="N31" i="50"/>
  <c r="N31" i="46"/>
  <c r="H36" i="46"/>
  <c r="N36" i="46" s="1"/>
  <c r="D33" i="80"/>
  <c r="L33" i="80" s="1"/>
  <c r="L30" i="80"/>
  <c r="H36" i="23"/>
  <c r="N36" i="23" s="1"/>
  <c r="N31" i="23"/>
  <c r="X77" i="91"/>
  <c r="Z77" i="91" s="1"/>
  <c r="R77" i="91"/>
  <c r="T36" i="38"/>
  <c r="Z36" i="38" s="1"/>
  <c r="Z31" i="38"/>
  <c r="X31" i="38"/>
  <c r="H36" i="53"/>
  <c r="N36" i="53" s="1"/>
  <c r="N31" i="53"/>
  <c r="D36" i="31"/>
  <c r="L36" i="31" s="1"/>
  <c r="L31" i="31"/>
  <c r="D36" i="28"/>
  <c r="L31" i="28"/>
  <c r="X38" i="55"/>
  <c r="X33" i="66"/>
  <c r="D36" i="25"/>
  <c r="L36" i="25" s="1"/>
  <c r="L31" i="25"/>
  <c r="T125" i="30"/>
  <c r="V122" i="30"/>
  <c r="H92" i="87"/>
  <c r="N89" i="87"/>
  <c r="J89" i="87"/>
  <c r="H102" i="9"/>
  <c r="N99" i="9"/>
  <c r="T36" i="49"/>
  <c r="Z36" i="49" s="1"/>
  <c r="Z31" i="49"/>
  <c r="Z31" i="6"/>
  <c r="H36" i="93"/>
  <c r="N36" i="93" s="1"/>
  <c r="N31" i="93"/>
  <c r="D64" i="61"/>
  <c r="L64" i="61" s="1"/>
  <c r="L61" i="61"/>
  <c r="N61" i="61" s="1"/>
  <c r="D113" i="68"/>
  <c r="L110" i="68"/>
  <c r="N110" i="68" s="1"/>
  <c r="F110" i="68"/>
  <c r="T36" i="16"/>
  <c r="Z36" i="16" s="1"/>
  <c r="Z31" i="16"/>
  <c r="P75" i="69"/>
  <c r="X71" i="69"/>
  <c r="Z71" i="69" s="1"/>
  <c r="R71" i="69"/>
  <c r="T87" i="24"/>
  <c r="V84" i="24"/>
  <c r="L36" i="26" l="1"/>
  <c r="X36" i="92"/>
  <c r="L36" i="35"/>
  <c r="X36" i="46"/>
  <c r="L36" i="28"/>
  <c r="L36" i="11"/>
  <c r="L36" i="8"/>
  <c r="X36" i="19"/>
  <c r="L36" i="52"/>
  <c r="X36" i="23"/>
  <c r="X36" i="94"/>
  <c r="L36" i="20"/>
  <c r="L36" i="5"/>
  <c r="L36" i="43"/>
  <c r="L36" i="94"/>
  <c r="L36" i="50"/>
  <c r="X36" i="14"/>
  <c r="L36" i="17"/>
  <c r="X36" i="41"/>
  <c r="X36" i="13"/>
  <c r="X36" i="17"/>
  <c r="X36" i="52"/>
  <c r="X36" i="4"/>
  <c r="L36" i="10"/>
  <c r="L36" i="14"/>
  <c r="L36" i="49"/>
  <c r="X36" i="50"/>
  <c r="L36" i="22"/>
  <c r="L36" i="37"/>
  <c r="L36" i="19"/>
  <c r="L36" i="4"/>
  <c r="X36" i="37"/>
  <c r="X36" i="43"/>
  <c r="L36" i="34"/>
  <c r="X36" i="29"/>
  <c r="L36" i="16"/>
  <c r="X36" i="7"/>
  <c r="X36" i="26"/>
  <c r="V125" i="30"/>
  <c r="D32" i="73"/>
  <c r="L29" i="73"/>
  <c r="N29" i="73" s="1"/>
  <c r="F29" i="73"/>
  <c r="X36" i="49"/>
  <c r="L95" i="88"/>
  <c r="N95" i="88" s="1"/>
  <c r="F95" i="88"/>
  <c r="D85" i="70"/>
  <c r="L82" i="70"/>
  <c r="N82" i="70" s="1"/>
  <c r="F82" i="70"/>
  <c r="J92" i="87"/>
  <c r="P93" i="27"/>
  <c r="X90" i="27"/>
  <c r="Z90" i="27" s="1"/>
  <c r="R90" i="27"/>
  <c r="Z36" i="28"/>
  <c r="X36" i="28"/>
  <c r="L36" i="93"/>
  <c r="L36" i="7"/>
  <c r="J35" i="76"/>
  <c r="L93" i="65"/>
  <c r="F93" i="65"/>
  <c r="J93" i="27"/>
  <c r="D183" i="3"/>
  <c r="L178" i="3"/>
  <c r="N178" i="3" s="1"/>
  <c r="F178" i="3"/>
  <c r="P87" i="63"/>
  <c r="X84" i="63"/>
  <c r="Z84" i="63" s="1"/>
  <c r="R84" i="63"/>
  <c r="J93" i="75"/>
  <c r="P154" i="15"/>
  <c r="X151" i="15"/>
  <c r="Z151" i="15" s="1"/>
  <c r="R151" i="15"/>
  <c r="X34" i="85"/>
  <c r="Z34" i="85" s="1"/>
  <c r="J99" i="81"/>
  <c r="N64" i="86"/>
  <c r="P125" i="30"/>
  <c r="X122" i="30"/>
  <c r="Z122" i="30" s="1"/>
  <c r="R122" i="30"/>
  <c r="L36" i="44"/>
  <c r="V85" i="70"/>
  <c r="P162" i="18"/>
  <c r="X159" i="18"/>
  <c r="Z159" i="18" s="1"/>
  <c r="R159" i="18"/>
  <c r="V85" i="51"/>
  <c r="X85" i="51"/>
  <c r="Z85" i="51" s="1"/>
  <c r="J162" i="18"/>
  <c r="D94" i="89"/>
  <c r="L91" i="89"/>
  <c r="N91" i="89" s="1"/>
  <c r="F91" i="89"/>
  <c r="J89" i="74"/>
  <c r="L100" i="62"/>
  <c r="L102" i="9"/>
  <c r="V162" i="18"/>
  <c r="X29" i="73"/>
  <c r="Z29" i="73" s="1"/>
  <c r="P32" i="73"/>
  <c r="R29" i="73"/>
  <c r="L87" i="63"/>
  <c r="F87" i="63"/>
  <c r="P183" i="3"/>
  <c r="X178" i="3"/>
  <c r="Z178" i="3" s="1"/>
  <c r="R178" i="3"/>
  <c r="N77" i="72"/>
  <c r="J77" i="72"/>
  <c r="N87" i="63"/>
  <c r="J87" i="63"/>
  <c r="X36" i="40"/>
  <c r="L36" i="53"/>
  <c r="N72" i="57"/>
  <c r="P85" i="70"/>
  <c r="X82" i="70"/>
  <c r="Z82" i="70" s="1"/>
  <c r="R82" i="70"/>
  <c r="Z38" i="55"/>
  <c r="X36" i="16"/>
  <c r="V89" i="74"/>
  <c r="X94" i="89"/>
  <c r="R94" i="89"/>
  <c r="D125" i="30"/>
  <c r="L122" i="30"/>
  <c r="N122" i="30" s="1"/>
  <c r="F122" i="30"/>
  <c r="L36" i="47"/>
  <c r="Z92" i="87"/>
  <c r="V92" i="87"/>
  <c r="X36" i="71"/>
  <c r="X92" i="87"/>
  <c r="R92" i="87"/>
  <c r="P163" i="12"/>
  <c r="X160" i="12"/>
  <c r="Z160" i="12" s="1"/>
  <c r="R160" i="12"/>
  <c r="L77" i="48"/>
  <c r="F77" i="48"/>
  <c r="V114" i="39"/>
  <c r="J94" i="89"/>
  <c r="N36" i="32"/>
  <c r="L36" i="32"/>
  <c r="X67" i="59"/>
  <c r="J125" i="30"/>
  <c r="J183" i="3"/>
  <c r="D99" i="81"/>
  <c r="L96" i="81"/>
  <c r="N96" i="81" s="1"/>
  <c r="F96" i="81"/>
  <c r="D154" i="15"/>
  <c r="L151" i="15"/>
  <c r="N151" i="15" s="1"/>
  <c r="F151" i="15"/>
  <c r="N33" i="80"/>
  <c r="X95" i="21"/>
  <c r="Z95" i="21" s="1"/>
  <c r="R95" i="21"/>
  <c r="V78" i="69"/>
  <c r="X36" i="5"/>
  <c r="D120" i="36"/>
  <c r="L117" i="36"/>
  <c r="N117" i="36" s="1"/>
  <c r="F117" i="36"/>
  <c r="V95" i="77"/>
  <c r="L65" i="60"/>
  <c r="X36" i="31"/>
  <c r="Z77" i="72"/>
  <c r="V77" i="72"/>
  <c r="X36" i="8"/>
  <c r="P93" i="65"/>
  <c r="X90" i="65"/>
  <c r="Z90" i="65" s="1"/>
  <c r="R90" i="65"/>
  <c r="P113" i="68"/>
  <c r="X110" i="68"/>
  <c r="Z110" i="68" s="1"/>
  <c r="R110" i="68"/>
  <c r="P114" i="39"/>
  <c r="X111" i="39"/>
  <c r="Z111" i="39" s="1"/>
  <c r="R111" i="39"/>
  <c r="V183" i="3"/>
  <c r="Z33" i="84"/>
  <c r="X102" i="9"/>
  <c r="Z102" i="9" s="1"/>
  <c r="Z64" i="61"/>
  <c r="X64" i="61"/>
  <c r="V87" i="24"/>
  <c r="L113" i="68"/>
  <c r="F113" i="68"/>
  <c r="V163" i="12"/>
  <c r="N102" i="9"/>
  <c r="L78" i="33"/>
  <c r="N78" i="33" s="1"/>
  <c r="F78" i="33"/>
  <c r="P95" i="77"/>
  <c r="X92" i="77"/>
  <c r="Z92" i="77" s="1"/>
  <c r="R92" i="77"/>
  <c r="X110" i="42"/>
  <c r="R110" i="42"/>
  <c r="J102" i="45"/>
  <c r="J95" i="77"/>
  <c r="N80" i="78"/>
  <c r="L80" i="78"/>
  <c r="V93" i="75"/>
  <c r="L36" i="71"/>
  <c r="Z35" i="79"/>
  <c r="L95" i="77"/>
  <c r="N95" i="77" s="1"/>
  <c r="F95" i="77"/>
  <c r="D163" i="12"/>
  <c r="L160" i="12"/>
  <c r="N160" i="12" s="1"/>
  <c r="F160" i="12"/>
  <c r="V93" i="27"/>
  <c r="D87" i="24"/>
  <c r="L84" i="24"/>
  <c r="N84" i="24" s="1"/>
  <c r="F84" i="24"/>
  <c r="L93" i="75"/>
  <c r="N93" i="75" s="1"/>
  <c r="F93" i="75"/>
  <c r="Z33" i="80"/>
  <c r="X36" i="35"/>
  <c r="Z81" i="58"/>
  <c r="V32" i="73"/>
  <c r="L34" i="85"/>
  <c r="N34" i="85" s="1"/>
  <c r="L93" i="27"/>
  <c r="N93" i="27" s="1"/>
  <c r="F93" i="27"/>
  <c r="P93" i="82"/>
  <c r="X93" i="82" s="1"/>
  <c r="X90" i="82"/>
  <c r="Z90" i="82" s="1"/>
  <c r="D78" i="69"/>
  <c r="L75" i="69"/>
  <c r="N75" i="69" s="1"/>
  <c r="F75" i="69"/>
  <c r="L36" i="23"/>
  <c r="P99" i="81"/>
  <c r="X96" i="81"/>
  <c r="Z96" i="81" s="1"/>
  <c r="R96" i="81"/>
  <c r="V87" i="63"/>
  <c r="X31" i="54"/>
  <c r="Z31" i="54" s="1"/>
  <c r="Z72" i="57"/>
  <c r="X72" i="57"/>
  <c r="L36" i="40"/>
  <c r="V99" i="81"/>
  <c r="V78" i="33"/>
  <c r="V120" i="36"/>
  <c r="L92" i="87"/>
  <c r="N92" i="87" s="1"/>
  <c r="F92" i="87"/>
  <c r="N77" i="91"/>
  <c r="J77" i="91"/>
  <c r="L36" i="46"/>
  <c r="X36" i="38"/>
  <c r="D95" i="21"/>
  <c r="L92" i="21"/>
  <c r="N92" i="21" s="1"/>
  <c r="F92" i="21"/>
  <c r="N93" i="65"/>
  <c r="J93" i="65"/>
  <c r="P78" i="69"/>
  <c r="X75" i="69"/>
  <c r="Z75" i="69" s="1"/>
  <c r="R75" i="69"/>
  <c r="J120" i="36"/>
  <c r="L114" i="39"/>
  <c r="N114" i="39" s="1"/>
  <c r="F114" i="39"/>
  <c r="X120" i="36"/>
  <c r="Z120" i="36" s="1"/>
  <c r="R120" i="36"/>
  <c r="V95" i="88"/>
  <c r="L110" i="42"/>
  <c r="F110" i="42"/>
  <c r="N65" i="60"/>
  <c r="Z93" i="82"/>
  <c r="V93" i="82"/>
  <c r="X64" i="86"/>
  <c r="Z64" i="86" s="1"/>
  <c r="J95" i="21"/>
  <c r="V154" i="15"/>
  <c r="N113" i="68"/>
  <c r="J113" i="68"/>
  <c r="P89" i="74"/>
  <c r="X86" i="74"/>
  <c r="Z86" i="74" s="1"/>
  <c r="R86" i="74"/>
  <c r="X75" i="33"/>
  <c r="Z75" i="33" s="1"/>
  <c r="P78" i="33"/>
  <c r="R75" i="33"/>
  <c r="J78" i="69"/>
  <c r="N35" i="79"/>
  <c r="P102" i="45"/>
  <c r="X99" i="45"/>
  <c r="Z99" i="45" s="1"/>
  <c r="R99" i="45"/>
  <c r="Z72" i="56"/>
  <c r="Z94" i="89"/>
  <c r="V94" i="89"/>
  <c r="J85" i="70"/>
  <c r="N100" i="62"/>
  <c r="Z110" i="42"/>
  <c r="V110" i="42"/>
  <c r="X95" i="88"/>
  <c r="Z95" i="88" s="1"/>
  <c r="R95" i="88"/>
  <c r="N77" i="48"/>
  <c r="J77" i="48"/>
  <c r="J85" i="51"/>
  <c r="P93" i="75"/>
  <c r="X90" i="75"/>
  <c r="Z90" i="75" s="1"/>
  <c r="R90" i="75"/>
  <c r="D89" i="74"/>
  <c r="L86" i="74"/>
  <c r="N86" i="74" s="1"/>
  <c r="F86" i="74"/>
  <c r="Z67" i="59"/>
  <c r="L33" i="66"/>
  <c r="D35" i="76"/>
  <c r="L32" i="76"/>
  <c r="N32" i="76" s="1"/>
  <c r="F32" i="76"/>
  <c r="L36" i="13"/>
  <c r="D102" i="45"/>
  <c r="L99" i="45"/>
  <c r="N99" i="45" s="1"/>
  <c r="F99" i="45"/>
  <c r="J163" i="12"/>
  <c r="D162" i="18"/>
  <c r="L159" i="18"/>
  <c r="N159" i="18" s="1"/>
  <c r="F159" i="18"/>
  <c r="X36" i="25"/>
  <c r="N38" i="55"/>
  <c r="J154" i="15"/>
  <c r="N110" i="42"/>
  <c r="J110" i="42"/>
  <c r="D85" i="51"/>
  <c r="L82" i="51"/>
  <c r="N82" i="51" s="1"/>
  <c r="F82" i="51"/>
  <c r="N72" i="56"/>
  <c r="X36" i="11"/>
  <c r="P87" i="24"/>
  <c r="X84" i="24"/>
  <c r="Z84" i="24" s="1"/>
  <c r="R84" i="24"/>
  <c r="Z100" i="62"/>
  <c r="X36" i="22"/>
  <c r="L78" i="69" l="1"/>
  <c r="N78" i="69" s="1"/>
  <c r="F78" i="69"/>
  <c r="L87" i="24"/>
  <c r="N87" i="24" s="1"/>
  <c r="F87" i="24"/>
  <c r="L89" i="74"/>
  <c r="N89" i="74" s="1"/>
  <c r="F89" i="74"/>
  <c r="L154" i="15"/>
  <c r="N154" i="15" s="1"/>
  <c r="F154" i="15"/>
  <c r="X87" i="63"/>
  <c r="Z87" i="63" s="1"/>
  <c r="R87" i="63"/>
  <c r="X93" i="27"/>
  <c r="Z93" i="27" s="1"/>
  <c r="R93" i="27"/>
  <c r="X114" i="39"/>
  <c r="Z114" i="39" s="1"/>
  <c r="R114" i="39"/>
  <c r="L85" i="51"/>
  <c r="N85" i="51" s="1"/>
  <c r="F85" i="51"/>
  <c r="X78" i="33"/>
  <c r="Z78" i="33" s="1"/>
  <c r="R78" i="33"/>
  <c r="L162" i="18"/>
  <c r="N162" i="18" s="1"/>
  <c r="F162" i="18"/>
  <c r="L95" i="21"/>
  <c r="N95" i="21" s="1"/>
  <c r="F95" i="21"/>
  <c r="X99" i="81"/>
  <c r="Z99" i="81" s="1"/>
  <c r="R99" i="81"/>
  <c r="X113" i="68"/>
  <c r="Z113" i="68" s="1"/>
  <c r="R113" i="68"/>
  <c r="L102" i="45"/>
  <c r="N102" i="45" s="1"/>
  <c r="F102" i="45"/>
  <c r="X183" i="3"/>
  <c r="Z183" i="3" s="1"/>
  <c r="R183" i="3"/>
  <c r="L35" i="76"/>
  <c r="N35" i="76" s="1"/>
  <c r="F35" i="76"/>
  <c r="X93" i="75"/>
  <c r="Z93" i="75" s="1"/>
  <c r="R93" i="75"/>
  <c r="L163" i="12"/>
  <c r="N163" i="12" s="1"/>
  <c r="F163" i="12"/>
  <c r="L99" i="81"/>
  <c r="N99" i="81" s="1"/>
  <c r="F99" i="81"/>
  <c r="X163" i="12"/>
  <c r="Z163" i="12" s="1"/>
  <c r="R163" i="12"/>
  <c r="X32" i="73"/>
  <c r="Z32" i="73" s="1"/>
  <c r="R32" i="73"/>
  <c r="X125" i="30"/>
  <c r="Z125" i="30" s="1"/>
  <c r="R125" i="30"/>
  <c r="X154" i="15"/>
  <c r="Z154" i="15" s="1"/>
  <c r="R154" i="15"/>
  <c r="L183" i="3"/>
  <c r="N183" i="3" s="1"/>
  <c r="F183" i="3"/>
  <c r="L32" i="73"/>
  <c r="N32" i="73" s="1"/>
  <c r="F32" i="73"/>
  <c r="L120" i="36"/>
  <c r="N120" i="36" s="1"/>
  <c r="F120" i="36"/>
  <c r="X102" i="45"/>
  <c r="Z102" i="45" s="1"/>
  <c r="R102" i="45"/>
  <c r="X95" i="77"/>
  <c r="Z95" i="77" s="1"/>
  <c r="R95" i="77"/>
  <c r="L125" i="30"/>
  <c r="N125" i="30" s="1"/>
  <c r="F125" i="30"/>
  <c r="X87" i="24"/>
  <c r="Z87" i="24" s="1"/>
  <c r="R87" i="24"/>
  <c r="X89" i="74"/>
  <c r="Z89" i="74" s="1"/>
  <c r="R89" i="74"/>
  <c r="X78" i="69"/>
  <c r="Z78" i="69" s="1"/>
  <c r="R78" i="69"/>
  <c r="X93" i="65"/>
  <c r="Z93" i="65" s="1"/>
  <c r="R93" i="65"/>
  <c r="X85" i="70"/>
  <c r="Z85" i="70" s="1"/>
  <c r="R85" i="70"/>
  <c r="L94" i="89"/>
  <c r="N94" i="89" s="1"/>
  <c r="F94" i="89"/>
  <c r="X162" i="18"/>
  <c r="Z162" i="18" s="1"/>
  <c r="R162" i="18"/>
  <c r="L85" i="70"/>
  <c r="N85" i="70" s="1"/>
  <c r="F85" i="70"/>
</calcChain>
</file>

<file path=xl/sharedStrings.xml><?xml version="1.0" encoding="utf-8"?>
<sst xmlns="http://schemas.openxmlformats.org/spreadsheetml/2006/main" count="2741" uniqueCount="315">
  <si>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</si>
  <si>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</si>
  <si>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</si>
  <si>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</si>
  <si>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</si>
  <si>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</si>
  <si>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</si>
  <si>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</si>
  <si>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</si>
  <si>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</si>
  <si>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</si>
  <si>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</si>
  <si>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</si>
  <si>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</si>
  <si>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</si>
  <si>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</si>
  <si>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</si>
  <si>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</si>
  <si>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</si>
  <si>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</si>
  <si>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</si>
  <si>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</si>
  <si>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</si>
  <si>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</si>
  <si>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</si>
  <si>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</si>
  <si>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</si>
  <si>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</si>
  <si>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</si>
  <si>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</si>
  <si>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</si>
  <si>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</si>
  <si>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</si>
  <si>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</si>
  <si>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</si>
  <si>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</si>
  <si>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</si>
  <si>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</si>
  <si>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</si>
  <si>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</si>
  <si>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</si>
  <si>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</si>
  <si>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</si>
  <si>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</si>
  <si>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</si>
  <si>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</si>
  <si>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</si>
  <si>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</si>
  <si>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</si>
  <si>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</si>
  <si>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</si>
  <si>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</si>
  <si>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</si>
  <si>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</si>
  <si>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</si>
  <si>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</si>
  <si>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</si>
  <si>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</si>
  <si>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% Budget Sales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</si>
  <si>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</si>
  <si>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</si>
  <si>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</si>
  <si>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</si>
  <si>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</si>
  <si>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</si>
  <si>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</si>
  <si>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</si>
  <si>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</si>
  <si>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</si>
  <si>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</si>
  <si>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</si>
  <si>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</si>
  <si>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</si>
  <si>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</si>
  <si>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</si>
  <si>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</si>
  <si>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</si>
  <si>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</si>
  <si>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</si>
  <si>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</si>
  <si>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</si>
  <si>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</si>
  <si>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</si>
  <si>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</si>
  <si>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</si>
  <si>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</si>
  <si>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</si>
  <si>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</si>
  <si>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</si>
  <si>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</si>
  <si>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</si>
  <si>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</si>
  <si>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</si>
  <si>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</si>
  <si>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</si>
  <si>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</si>
  <si>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</si>
  <si>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</si>
  <si>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</si>
  <si>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</si>
  <si>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</si>
  <si>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</si>
  <si>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</si>
  <si>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</si>
  <si>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</si>
  <si>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</si>
  <si>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</si>
  <si>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</si>
  <si>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</si>
  <si>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</si>
  <si>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</si>
  <si>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</si>
  <si>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</si>
  <si>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</si>
  <si>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</si>
  <si>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</si>
  <si>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</si>
  <si>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</si>
  <si>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</si>
  <si>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</si>
  <si>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</si>
  <si>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</si>
  <si>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</si>
  <si>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</si>
  <si>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</si>
  <si>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</si>
  <si>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</si>
  <si>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</si>
  <si>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</si>
  <si>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</si>
  <si>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</si>
  <si>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</si>
  <si>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</si>
  <si>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</si>
  <si>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</si>
  <si>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</si>
  <si>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</si>
  <si>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</si>
  <si>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</si>
  <si>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</si>
  <si>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</si>
  <si>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</si>
  <si>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</si>
  <si>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</si>
  <si>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</si>
  <si>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</si>
  <si>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</si>
  <si>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</si>
  <si>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</si>
  <si>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</si>
  <si>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</si>
  <si>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</si>
  <si>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</si>
  <si>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</si>
  <si>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</si>
  <si>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</si>
  <si>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</si>
  <si>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</si>
  <si>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</si>
  <si>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</si>
  <si>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</si>
  <si>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</si>
  <si>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</si>
  <si>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</si>
  <si>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</si>
  <si>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</si>
  <si>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</si>
  <si>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</si>
  <si>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</si>
  <si>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</si>
  <si>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</si>
  <si>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</si>
  <si>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</si>
  <si>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</si>
  <si>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</si>
  <si>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</si>
  <si>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</si>
  <si>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</si>
  <si>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</si>
  <si>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</si>
  <si>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</si>
  <si>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</si>
  <si>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</si>
  <si>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</si>
  <si>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</si>
  <si>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</si>
  <si>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</si>
  <si>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</si>
  <si>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</si>
  <si>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</si>
  <si>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</si>
  <si>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</si>
  <si>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</si>
  <si>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</si>
  <si>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</si>
  <si>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</si>
  <si>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</si>
  <si>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</si>
  <si>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</si>
  <si>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</si>
  <si>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</si>
  <si>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</si>
  <si>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</si>
  <si>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</si>
  <si>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</si>
  <si>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</si>
  <si>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</si>
  <si>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</si>
  <si>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</si>
  <si>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</si>
  <si>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</si>
  <si>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</si>
  <si>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</si>
  <si>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</si>
  <si>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</si>
  <si>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</si>
  <si>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</si>
  <si>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</si>
  <si>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</si>
  <si>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</si>
  <si>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</si>
  <si>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</si>
  <si>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</si>
  <si>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</si>
  <si>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</si>
  <si>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</si>
  <si>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</si>
  <si>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</si>
  <si>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</si>
  <si>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</si>
  <si>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</si>
  <si>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</si>
  <si>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</si>
  <si>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</si>
  <si>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</si>
  <si>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</si>
  <si>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</si>
  <si>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</si>
  <si>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Budget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</si>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</sst>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168" fontId="2" fillId="2" borderId="4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7" fontId="2" fillId="2" borderId="3" xfId="3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0" applyNumberFormat="1" applyFill="1"/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0" fontId="0" fillId="0" borderId="0" xfId="0" applyBorder="1"/>
    <xf numFmtId="0" fontId="3" fillId="0" borderId="0" xfId="0" applyFont="1" applyFill="1"/>
    <xf numFmtId="0" fontId="4" fillId="0" borderId="0" xfId="0" applyFont="1"/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Fill="1" applyBorder="1"/>
    <xf numFmtId="0" fontId="5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166" fontId="5" fillId="0" borderId="0" xfId="0" applyNumberFormat="1" applyFont="1" applyAlignment="1">
      <alignment horizontal="left"/>
    </xf>
    <xf numFmtId="165" fontId="0" fillId="0" borderId="0" xfId="0" applyNumberFormat="1"/>
    <xf numFmtId="0" fontId="0" fillId="0" borderId="0" xfId="0" applyFill="1" applyAlignment="1">
      <alignment horizontal="centerContinuous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41" t="s">
        <v>178</v>
      </c>
      <c r="B3" s="41" t="s">
        <v>196</v>
      </c>
      <c r="C3" s="41" t="s">
        <v>239</v>
      </c>
      <c r="D3" s="41" t="s">
        <v>99</v>
      </c>
      <c r="E3" s="41" t="s">
        <v>158</v>
      </c>
      <c r="F3" s="41" t="s">
        <v>0</v>
      </c>
      <c r="G3" s="41" t="s">
        <v>179</v>
      </c>
      <c r="H3" s="41" t="s">
        <v>53</v>
      </c>
      <c r="I3" s="41" t="s">
        <v>100</v>
      </c>
      <c r="J3" s="41" t="s">
        <v>214</v>
      </c>
      <c r="K3" s="41" t="s">
        <v>138</v>
      </c>
      <c r="L3" s="41" t="s">
        <v>215</v>
      </c>
      <c r="M3" s="41" t="s">
        <v>78</v>
      </c>
      <c r="N3" s="41" t="s">
        <v>79</v>
      </c>
      <c r="O3" s="41" t="s">
        <v>180</v>
      </c>
      <c r="P3" s="41" t="s">
        <v>197</v>
      </c>
      <c r="Q3" s="41" t="s">
        <v>17</v>
      </c>
      <c r="R3" s="41" t="s">
        <v>18</v>
      </c>
      <c r="S3" s="41" t="s">
        <v>54</v>
      </c>
      <c r="T3" s="41" t="s">
        <v>216</v>
      </c>
      <c r="U3" s="41" t="s">
        <v>271</v>
      </c>
      <c r="V3" s="41" t="s">
        <v>289</v>
      </c>
      <c r="W3" s="41" t="s">
        <v>181</v>
      </c>
      <c r="X3" s="41" t="s">
        <v>272</v>
      </c>
      <c r="Y3" s="41" t="s">
        <v>102</v>
      </c>
      <c r="Z3" s="41" t="s">
        <v>253</v>
      </c>
      <c r="AA3" s="41" t="s">
        <v>159</v>
      </c>
      <c r="AB3" s="41" t="s">
        <v>273</v>
      </c>
      <c r="AC3" s="41" t="s">
        <v>19</v>
      </c>
      <c r="AD3" s="41" t="s">
        <v>103</v>
      </c>
      <c r="AE3" s="41" t="s">
        <v>160</v>
      </c>
      <c r="AF3" s="41" t="s">
        <v>104</v>
      </c>
      <c r="AG3" s="41" t="s">
        <v>198</v>
      </c>
      <c r="AH3" s="41" t="s">
        <v>38</v>
      </c>
      <c r="AI3" s="41" t="s">
        <v>274</v>
      </c>
      <c r="AJ3" s="41" t="s">
        <v>275</v>
      </c>
      <c r="AK3" s="41" t="s">
        <v>80</v>
      </c>
      <c r="AL3" s="41" t="s">
        <v>254</v>
      </c>
      <c r="AM3" s="41" t="s">
        <v>255</v>
      </c>
      <c r="AN3" s="41" t="s">
        <v>235</v>
      </c>
      <c r="AO3" s="41" t="s">
        <v>311</v>
      </c>
      <c r="AP3" s="41" t="s">
        <v>312</v>
      </c>
      <c r="AQ3" s="41" t="s">
        <v>124</v>
      </c>
      <c r="AR3" s="41" t="s">
        <v>182</v>
      </c>
      <c r="AS3" s="41" t="s">
        <v>236</v>
      </c>
      <c r="AT3" s="41" t="s">
        <v>276</v>
      </c>
      <c r="AU3" s="41" t="s">
        <v>217</v>
      </c>
      <c r="AV3" s="41" t="s">
        <v>123</v>
      </c>
      <c r="AW3" s="41" t="s">
        <v>101</v>
      </c>
      <c r="AX3" s="41" t="s">
        <v>290</v>
      </c>
      <c r="AY3" s="41" t="s">
        <v>20</v>
      </c>
      <c r="AZ3" s="41" t="s">
        <v>291</v>
      </c>
      <c r="BA3" s="41" t="s">
        <v>278</v>
      </c>
      <c r="BB3" s="41" t="s">
        <v>110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139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107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107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256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256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314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314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199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199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81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67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41" t="s">
        <v>239</v>
      </c>
      <c r="B3" s="41" t="s">
        <v>296</v>
      </c>
      <c r="C3" s="41" t="s">
        <v>0</v>
      </c>
      <c r="D3" s="41" t="s">
        <v>59</v>
      </c>
      <c r="E3" s="41" t="s">
        <v>83</v>
      </c>
      <c r="F3" s="41" t="s">
        <v>24</v>
      </c>
      <c r="G3" s="41" t="s">
        <v>129</v>
      </c>
      <c r="H3" s="41" t="s">
        <v>161</v>
      </c>
      <c r="I3" s="41" t="s">
        <v>109</v>
      </c>
      <c r="J3" s="41" t="s">
        <v>240</v>
      </c>
      <c r="K3" s="41" t="s">
        <v>130</v>
      </c>
      <c r="L3" s="41" t="s">
        <v>25</v>
      </c>
      <c r="M3" s="41" t="s">
        <v>60</v>
      </c>
      <c r="N3" s="41" t="s">
        <v>41</v>
      </c>
      <c r="O3" s="41" t="s">
        <v>61</v>
      </c>
      <c r="P3" s="41" t="s">
        <v>162</v>
      </c>
      <c r="Q3" s="41" t="s">
        <v>26</v>
      </c>
      <c r="R3" s="41" t="s">
        <v>185</v>
      </c>
      <c r="S3" s="41" t="s">
        <v>186</v>
      </c>
      <c r="T3" s="41" t="s">
        <v>201</v>
      </c>
      <c r="U3" s="41" t="s">
        <v>27</v>
      </c>
      <c r="V3" s="41" t="s">
        <v>241</v>
      </c>
      <c r="W3" s="41" t="s">
        <v>259</v>
      </c>
      <c r="X3" s="41" t="s">
        <v>202</v>
      </c>
      <c r="Y3" s="41" t="s">
        <v>187</v>
      </c>
      <c r="Z3" s="41" t="s">
        <v>1</v>
      </c>
      <c r="AA3" s="41" t="s">
        <v>279</v>
      </c>
      <c r="AB3" s="41" t="s">
        <v>131</v>
      </c>
      <c r="AC3" s="41" t="s">
        <v>111</v>
      </c>
      <c r="AD3" s="41" t="s">
        <v>42</v>
      </c>
      <c r="AE3" s="41" t="s">
        <v>84</v>
      </c>
      <c r="AF3" s="41" t="s">
        <v>43</v>
      </c>
      <c r="AG3" s="41" t="s">
        <v>220</v>
      </c>
      <c r="AH3" s="41" t="s">
        <v>163</v>
      </c>
      <c r="AI3" s="41" t="s">
        <v>203</v>
      </c>
      <c r="AJ3" s="41" t="s">
        <v>63</v>
      </c>
      <c r="AK3" s="41" t="s">
        <v>132</v>
      </c>
      <c r="AL3" s="41" t="s">
        <v>297</v>
      </c>
      <c r="AM3" s="41" t="s">
        <v>204</v>
      </c>
      <c r="AN3" s="41" t="s">
        <v>64</v>
      </c>
      <c r="AO3" s="41" t="s">
        <v>28</v>
      </c>
      <c r="AP3" s="41" t="s">
        <v>205</v>
      </c>
      <c r="AQ3" s="41" t="s">
        <v>65</v>
      </c>
      <c r="AR3" s="41" t="s">
        <v>260</v>
      </c>
      <c r="AS3" s="41" t="s">
        <v>221</v>
      </c>
      <c r="AT3" s="41" t="s">
        <v>3</v>
      </c>
      <c r="AU3" s="41" t="s">
        <v>280</v>
      </c>
      <c r="AV3" s="41" t="s">
        <v>141</v>
      </c>
      <c r="AW3" s="41" t="s">
        <v>4</v>
      </c>
      <c r="AX3" s="41" t="s">
        <v>85</v>
      </c>
      <c r="AY3" s="41" t="s">
        <v>298</v>
      </c>
      <c r="AZ3" s="41" t="s">
        <v>66</v>
      </c>
      <c r="BA3" s="41" t="s">
        <v>222</v>
      </c>
      <c r="BB3" s="41" t="s">
        <v>67</v>
      </c>
      <c r="BC3" s="41" t="s">
        <v>242</v>
      </c>
      <c r="BD3" s="41" t="s">
        <v>281</v>
      </c>
      <c r="BE3" s="41" t="s">
        <v>142</v>
      </c>
      <c r="BF3" s="41" t="s">
        <v>299</v>
      </c>
      <c r="BG3" s="41" t="s">
        <v>112</v>
      </c>
      <c r="BH3" s="41" t="s">
        <v>113</v>
      </c>
      <c r="BI3" s="41" t="s">
        <v>243</v>
      </c>
      <c r="BJ3" s="41" t="s">
        <v>223</v>
      </c>
      <c r="BK3" s="41" t="s">
        <v>68</v>
      </c>
      <c r="BL3" s="41" t="s">
        <v>164</v>
      </c>
      <c r="BM3" s="41" t="s">
        <v>282</v>
      </c>
      <c r="BN3" s="41" t="s">
        <v>224</v>
      </c>
      <c r="BO3" s="41" t="s">
        <v>300</v>
      </c>
      <c r="BP3" s="41" t="s">
        <v>143</v>
      </c>
      <c r="BQ3" s="41" t="s">
        <v>225</v>
      </c>
      <c r="BR3" s="41" t="s">
        <v>133</v>
      </c>
      <c r="BS3" s="41" t="s">
        <v>206</v>
      </c>
      <c r="BT3" s="41" t="s">
        <v>69</v>
      </c>
      <c r="BU3" s="41" t="s">
        <v>226</v>
      </c>
      <c r="BV3" s="41" t="s">
        <v>261</v>
      </c>
      <c r="BW3" s="41" t="s">
        <v>301</v>
      </c>
      <c r="BX3" s="41" t="s">
        <v>165</v>
      </c>
      <c r="BY3" s="41" t="s">
        <v>283</v>
      </c>
      <c r="BZ3" s="41" t="s">
        <v>144</v>
      </c>
      <c r="CA3" s="41" t="s">
        <v>5</v>
      </c>
      <c r="CB3" s="41" t="s">
        <v>114</v>
      </c>
      <c r="CC3" s="41" t="s">
        <v>207</v>
      </c>
      <c r="CD3" s="41" t="s">
        <v>44</v>
      </c>
      <c r="CE3" s="41" t="s">
        <v>227</v>
      </c>
      <c r="CF3" s="41" t="s">
        <v>45</v>
      </c>
      <c r="CG3" s="41" t="s">
        <v>284</v>
      </c>
      <c r="CH3" s="41" t="s">
        <v>188</v>
      </c>
      <c r="CI3" s="41" t="s">
        <v>134</v>
      </c>
      <c r="CJ3" s="41" t="s">
        <v>302</v>
      </c>
      <c r="CK3" s="41" t="s">
        <v>115</v>
      </c>
      <c r="CL3" s="41" t="s">
        <v>145</v>
      </c>
      <c r="CM3" s="41" t="s">
        <v>146</v>
      </c>
      <c r="CN3" s="41" t="s">
        <v>208</v>
      </c>
      <c r="CO3" s="41" t="s">
        <v>86</v>
      </c>
      <c r="CP3" s="41" t="s">
        <v>166</v>
      </c>
      <c r="CQ3" s="41" t="s">
        <v>303</v>
      </c>
      <c r="CR3" s="41" t="s">
        <v>135</v>
      </c>
      <c r="CS3" s="41" t="s">
        <v>285</v>
      </c>
      <c r="CT3" s="41" t="s">
        <v>167</v>
      </c>
      <c r="CU3" s="41" t="s">
        <v>228</v>
      </c>
      <c r="CV3" s="41" t="s">
        <v>168</v>
      </c>
      <c r="CW3" s="41" t="s">
        <v>116</v>
      </c>
      <c r="CX3" s="41" t="s">
        <v>46</v>
      </c>
      <c r="CY3" s="41" t="s">
        <v>244</v>
      </c>
      <c r="CZ3" s="41" t="s">
        <v>262</v>
      </c>
      <c r="DA3" s="41" t="s">
        <v>6</v>
      </c>
      <c r="DB3" s="41" t="s">
        <v>87</v>
      </c>
      <c r="DC3" s="41" t="s">
        <v>147</v>
      </c>
      <c r="DD3" s="41" t="s">
        <v>7</v>
      </c>
      <c r="DE3" s="41" t="s">
        <v>8</v>
      </c>
      <c r="DF3" s="41" t="s">
        <v>189</v>
      </c>
      <c r="DG3" s="41" t="s">
        <v>47</v>
      </c>
      <c r="DH3" s="41" t="s">
        <v>229</v>
      </c>
      <c r="DI3" s="41" t="s">
        <v>88</v>
      </c>
      <c r="DJ3" s="41" t="s">
        <v>70</v>
      </c>
      <c r="DK3" s="41" t="s">
        <v>29</v>
      </c>
      <c r="DL3" s="41" t="s">
        <v>30</v>
      </c>
      <c r="DM3" s="41" t="s">
        <v>304</v>
      </c>
      <c r="DN3" s="41" t="s">
        <v>169</v>
      </c>
      <c r="DO3" s="41" t="s">
        <v>136</v>
      </c>
      <c r="DP3" s="41" t="s">
        <v>209</v>
      </c>
      <c r="DQ3" s="41" t="s">
        <v>9</v>
      </c>
      <c r="DR3" s="41" t="s">
        <v>71</v>
      </c>
      <c r="DS3" s="41" t="s">
        <v>245</v>
      </c>
      <c r="DT3" s="41" t="s">
        <v>170</v>
      </c>
      <c r="DU3" s="41" t="s">
        <v>72</v>
      </c>
      <c r="DV3" s="41" t="s">
        <v>305</v>
      </c>
      <c r="DW3" s="41" t="s">
        <v>171</v>
      </c>
      <c r="DX3" s="41" t="s">
        <v>148</v>
      </c>
      <c r="DY3" s="41" t="s">
        <v>31</v>
      </c>
      <c r="DZ3" s="41" t="s">
        <v>32</v>
      </c>
      <c r="EA3" s="41" t="s">
        <v>48</v>
      </c>
      <c r="EB3" s="41" t="s">
        <v>246</v>
      </c>
      <c r="EC3" s="41" t="s">
        <v>230</v>
      </c>
      <c r="ED3" s="41" t="s">
        <v>89</v>
      </c>
      <c r="EE3" s="41" t="s">
        <v>190</v>
      </c>
      <c r="EF3" s="41" t="s">
        <v>33</v>
      </c>
      <c r="EG3" s="41" t="s">
        <v>10</v>
      </c>
      <c r="EH3" s="41" t="s">
        <v>306</v>
      </c>
      <c r="EI3" s="41" t="s">
        <v>149</v>
      </c>
      <c r="EJ3" s="41" t="s">
        <v>49</v>
      </c>
      <c r="EK3" s="41" t="s">
        <v>11</v>
      </c>
      <c r="EL3" s="41" t="s">
        <v>90</v>
      </c>
      <c r="EM3" s="41" t="s">
        <v>73</v>
      </c>
      <c r="EN3" s="41" t="s">
        <v>210</v>
      </c>
      <c r="EO3" s="41" t="s">
        <v>231</v>
      </c>
      <c r="EP3" s="41" t="s">
        <v>286</v>
      </c>
      <c r="EQ3" s="41" t="s">
        <v>172</v>
      </c>
      <c r="ER3" s="41" t="s">
        <v>150</v>
      </c>
      <c r="ES3" s="41" t="s">
        <v>247</v>
      </c>
      <c r="ET3" s="41" t="s">
        <v>74</v>
      </c>
      <c r="EU3" s="41" t="s">
        <v>263</v>
      </c>
      <c r="EV3" s="41" t="s">
        <v>264</v>
      </c>
      <c r="EW3" s="41" t="s">
        <v>232</v>
      </c>
      <c r="EX3" s="41" t="s">
        <v>307</v>
      </c>
      <c r="EY3" s="41" t="s">
        <v>248</v>
      </c>
      <c r="EZ3" s="41" t="s">
        <v>249</v>
      </c>
      <c r="FA3" s="41" t="s">
        <v>34</v>
      </c>
      <c r="FB3" s="41" t="s">
        <v>308</v>
      </c>
      <c r="FC3" s="41" t="s">
        <v>50</v>
      </c>
      <c r="FD3" s="41" t="s">
        <v>91</v>
      </c>
      <c r="FE3" s="41" t="s">
        <v>233</v>
      </c>
      <c r="FF3" s="41" t="s">
        <v>117</v>
      </c>
      <c r="FG3" s="41" t="s">
        <v>92</v>
      </c>
      <c r="FH3" s="41" t="s">
        <v>93</v>
      </c>
      <c r="FI3" s="41" t="s">
        <v>265</v>
      </c>
      <c r="FJ3" s="41" t="s">
        <v>191</v>
      </c>
      <c r="FK3" s="41" t="s">
        <v>192</v>
      </c>
      <c r="FL3" s="41" t="s">
        <v>173</v>
      </c>
      <c r="FM3" s="41" t="s">
        <v>151</v>
      </c>
      <c r="FN3" s="41" t="s">
        <v>118</v>
      </c>
      <c r="FO3" s="41" t="s">
        <v>174</v>
      </c>
      <c r="FP3" s="41" t="s">
        <v>266</v>
      </c>
      <c r="FQ3" s="41" t="s">
        <v>250</v>
      </c>
      <c r="FR3" s="41" t="s">
        <v>211</v>
      </c>
      <c r="FS3" s="41" t="s">
        <v>287</v>
      </c>
      <c r="FT3" s="41" t="s">
        <v>152</v>
      </c>
      <c r="FU3" s="41" t="s">
        <v>12</v>
      </c>
      <c r="FV3" s="41" t="s">
        <v>193</v>
      </c>
      <c r="FW3" s="41" t="s">
        <v>94</v>
      </c>
      <c r="FX3" s="41" t="s">
        <v>153</v>
      </c>
      <c r="FY3" s="41" t="s">
        <v>175</v>
      </c>
      <c r="FZ3" s="41" t="s">
        <v>95</v>
      </c>
      <c r="GA3" s="41" t="s">
        <v>267</v>
      </c>
      <c r="GB3" s="41" t="s">
        <v>35</v>
      </c>
      <c r="GC3" s="41" t="s">
        <v>36</v>
      </c>
      <c r="GD3" s="41" t="s">
        <v>288</v>
      </c>
      <c r="GE3" s="41" t="s">
        <v>119</v>
      </c>
      <c r="GF3" s="41" t="s">
        <v>234</v>
      </c>
      <c r="GG3" s="41" t="s">
        <v>194</v>
      </c>
      <c r="GH3" s="41" t="s">
        <v>195</v>
      </c>
      <c r="GI3" s="41" t="s">
        <v>268</v>
      </c>
      <c r="GJ3" s="41" t="s">
        <v>137</v>
      </c>
      <c r="GK3" s="41" t="s">
        <v>37</v>
      </c>
      <c r="GL3" s="41" t="s">
        <v>75</v>
      </c>
      <c r="GM3" s="41" t="s">
        <v>120</v>
      </c>
      <c r="GN3" s="41" t="s">
        <v>13</v>
      </c>
      <c r="GO3" s="41" t="s">
        <v>309</v>
      </c>
      <c r="GP3" s="41" t="s">
        <v>212</v>
      </c>
      <c r="GQ3" s="41" t="s">
        <v>76</v>
      </c>
      <c r="GR3" s="41" t="s">
        <v>176</v>
      </c>
      <c r="GS3" s="41" t="s">
        <v>154</v>
      </c>
      <c r="GT3" s="41" t="s">
        <v>121</v>
      </c>
      <c r="GU3" s="41" t="s">
        <v>251</v>
      </c>
      <c r="GV3" s="41" t="s">
        <v>51</v>
      </c>
      <c r="GW3" s="41" t="s">
        <v>14</v>
      </c>
      <c r="GX3" s="41" t="s">
        <v>310</v>
      </c>
      <c r="GY3" s="41" t="s">
        <v>96</v>
      </c>
      <c r="GZ3" s="41" t="s">
        <v>269</v>
      </c>
      <c r="HA3" s="41" t="s">
        <v>177</v>
      </c>
      <c r="HB3" s="41" t="s">
        <v>213</v>
      </c>
      <c r="HC3" s="41" t="s">
        <v>252</v>
      </c>
      <c r="HD3" s="41" t="s">
        <v>155</v>
      </c>
      <c r="HE3" s="41" t="s">
        <v>15</v>
      </c>
      <c r="HF3" s="41" t="s">
        <v>97</v>
      </c>
      <c r="HG3" s="41" t="s">
        <v>98</v>
      </c>
      <c r="HH3" s="41" t="s">
        <v>52</v>
      </c>
      <c r="HI3" s="41" t="s">
        <v>122</v>
      </c>
      <c r="HJ3" s="41" t="s">
        <v>270</v>
      </c>
      <c r="HK3" s="41"/>
      <c r="HL3" s="41" t="s">
        <v>2</v>
      </c>
      <c r="HM3" s="66"/>
      <c r="HN3" s="41" t="s">
        <v>278</v>
      </c>
      <c r="HO3" s="41" t="s">
        <v>110</v>
      </c>
      <c r="HP3" t="s">
        <v>62</v>
      </c>
      <c r="JK3" s="41" t="s">
        <v>16</v>
      </c>
      <c r="JL3" s="41" t="s">
        <v>156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41" t="s">
        <v>77</v>
      </c>
      <c r="JL10002" s="41" t="s">
        <v>157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81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22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22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125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125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200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200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55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188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L107" sqref="L107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313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2488533.1399999997</v>
      </c>
      <c r="E12" s="4"/>
      <c r="F12" s="12"/>
      <c r="G12" s="4"/>
      <c r="H12" s="4">
        <f>SUM(OSRRefH13x_0)</f>
        <v>3635703</v>
      </c>
      <c r="I12" s="4"/>
      <c r="J12" s="12"/>
      <c r="K12" s="4"/>
      <c r="L12" s="4">
        <f t="shared" ref="L12:L22" si="0">+D12-H12</f>
        <v>-1147169.8600000003</v>
      </c>
      <c r="M12" s="4"/>
      <c r="N12" s="12">
        <f t="shared" ref="N12:N22" si="1">IF(H12=0,0,L12/H12)</f>
        <v>-0.31552903523747688</v>
      </c>
      <c r="O12" s="10"/>
      <c r="P12" s="4">
        <f>SUM(OSRRefP13x_0)</f>
        <v>2992682.3200000003</v>
      </c>
      <c r="Q12" s="4"/>
      <c r="R12" s="12"/>
      <c r="S12" s="4"/>
      <c r="T12" s="4">
        <f>SUM(OSRRefT13x_0)</f>
        <v>4294171</v>
      </c>
      <c r="U12" s="4"/>
      <c r="V12" s="12"/>
      <c r="W12" s="4"/>
      <c r="X12" s="4">
        <f t="shared" ref="X12:X22" si="2">+P12-T12</f>
        <v>-1301488.6799999997</v>
      </c>
      <c r="Y12" s="4"/>
      <c r="Z12" s="12">
        <f t="shared" ref="Z12:Z22" si="3">IF(T12=0,0,X12/T12)</f>
        <v>-0.30308263923350975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--1520862.77</f>
        <v>1520862.77</v>
      </c>
      <c r="E13" s="2"/>
      <c r="F13" s="19"/>
      <c r="G13" s="2"/>
      <c r="H13" s="2">
        <v>3098792</v>
      </c>
      <c r="I13" s="2"/>
      <c r="J13" s="19"/>
      <c r="K13" s="2"/>
      <c r="L13" s="2">
        <f t="shared" si="0"/>
        <v>-1577929.23</v>
      </c>
      <c r="M13" s="2"/>
      <c r="N13" s="19">
        <f t="shared" si="1"/>
        <v>-0.50920785583543526</v>
      </c>
      <c r="O13" s="11"/>
      <c r="P13" s="2">
        <f>--1790867.36</f>
        <v>1790867.36</v>
      </c>
      <c r="Q13" s="2"/>
      <c r="R13" s="19"/>
      <c r="S13" s="2"/>
      <c r="T13" s="2">
        <v>3699209</v>
      </c>
      <c r="U13" s="2"/>
      <c r="V13" s="19"/>
      <c r="W13" s="2"/>
      <c r="X13" s="2">
        <f t="shared" si="2"/>
        <v>-1908341.64</v>
      </c>
      <c r="Y13" s="2"/>
      <c r="Z13" s="19">
        <f t="shared" si="3"/>
        <v>-0.51587829722516354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--20639.51</f>
        <v>20639.509999999998</v>
      </c>
      <c r="E14" s="2"/>
      <c r="F14" s="19"/>
      <c r="G14" s="2"/>
      <c r="H14" s="2"/>
      <c r="I14" s="2"/>
      <c r="J14" s="19"/>
      <c r="K14" s="2"/>
      <c r="L14" s="2">
        <f t="shared" si="0"/>
        <v>20639.509999999998</v>
      </c>
      <c r="M14" s="2"/>
      <c r="N14" s="19">
        <f t="shared" si="1"/>
        <v>0</v>
      </c>
      <c r="O14" s="11"/>
      <c r="P14" s="2">
        <f>--31270.44</f>
        <v>31270.44</v>
      </c>
      <c r="Q14" s="2"/>
      <c r="R14" s="19"/>
      <c r="S14" s="2"/>
      <c r="T14" s="2"/>
      <c r="U14" s="2"/>
      <c r="V14" s="19"/>
      <c r="W14" s="2"/>
      <c r="X14" s="2">
        <f t="shared" si="2"/>
        <v>31270.44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--384.19</f>
        <v>384.19</v>
      </c>
      <c r="E15" s="2"/>
      <c r="F15" s="19"/>
      <c r="G15" s="2"/>
      <c r="H15" s="2"/>
      <c r="I15" s="2"/>
      <c r="J15" s="19"/>
      <c r="K15" s="2"/>
      <c r="L15" s="2">
        <f t="shared" si="0"/>
        <v>384.19</v>
      </c>
      <c r="M15" s="2"/>
      <c r="N15" s="19">
        <f t="shared" si="1"/>
        <v>0</v>
      </c>
      <c r="O15" s="11"/>
      <c r="P15" s="2">
        <f>--490.83</f>
        <v>490.83</v>
      </c>
      <c r="Q15" s="2"/>
      <c r="R15" s="19"/>
      <c r="S15" s="2"/>
      <c r="T15" s="2"/>
      <c r="U15" s="2"/>
      <c r="V15" s="19"/>
      <c r="W15" s="2"/>
      <c r="X15" s="2">
        <f t="shared" si="2"/>
        <v>490.83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--498108.59</f>
        <v>498108.59</v>
      </c>
      <c r="E16" s="2"/>
      <c r="F16" s="19"/>
      <c r="G16" s="2"/>
      <c r="H16" s="2">
        <v>536911</v>
      </c>
      <c r="I16" s="2"/>
      <c r="J16" s="19"/>
      <c r="K16" s="2"/>
      <c r="L16" s="2">
        <f t="shared" si="0"/>
        <v>-38802.409999999974</v>
      </c>
      <c r="M16" s="2"/>
      <c r="N16" s="19">
        <f t="shared" si="1"/>
        <v>-7.2269724404975824E-2</v>
      </c>
      <c r="O16" s="11"/>
      <c r="P16" s="2">
        <f>--723830.11</f>
        <v>723830.11</v>
      </c>
      <c r="Q16" s="2"/>
      <c r="R16" s="19"/>
      <c r="S16" s="2"/>
      <c r="T16" s="2">
        <v>594962</v>
      </c>
      <c r="U16" s="2"/>
      <c r="V16" s="19"/>
      <c r="W16" s="2"/>
      <c r="X16" s="2">
        <f t="shared" si="2"/>
        <v>128868.10999999999</v>
      </c>
      <c r="Y16" s="2"/>
      <c r="Z16" s="19">
        <f t="shared" si="3"/>
        <v>0.2165988920300792</v>
      </c>
    </row>
    <row r="17" spans="1:26" s="24" customFormat="1" hidden="1" outlineLevel="1" x14ac:dyDescent="0.3">
      <c r="A17" s="44"/>
      <c r="B17" s="11" t="str">
        <f>CONCATENATE("          ", "4141", " - ", "NON-TAXABLE SALES-LOGO GIFTS")</f>
        <v xml:space="preserve">          4141 - NON-TAXABLE SALES-LOGO GIFTS</v>
      </c>
      <c r="C17" s="11"/>
      <c r="D17" s="2">
        <f>--389.5</f>
        <v>389.5</v>
      </c>
      <c r="E17" s="2"/>
      <c r="F17" s="19"/>
      <c r="G17" s="2"/>
      <c r="H17" s="2"/>
      <c r="I17" s="2"/>
      <c r="J17" s="19"/>
      <c r="K17" s="2"/>
      <c r="L17" s="2">
        <f t="shared" si="0"/>
        <v>389.5</v>
      </c>
      <c r="M17" s="2"/>
      <c r="N17" s="19">
        <f t="shared" si="1"/>
        <v>0</v>
      </c>
      <c r="O17" s="11"/>
      <c r="P17" s="2">
        <f>--389.5</f>
        <v>389.5</v>
      </c>
      <c r="Q17" s="2"/>
      <c r="R17" s="19"/>
      <c r="S17" s="2"/>
      <c r="T17" s="2"/>
      <c r="U17" s="2"/>
      <c r="V17" s="19"/>
      <c r="W17" s="2"/>
      <c r="X17" s="2">
        <f t="shared" si="2"/>
        <v>389.5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"4146", " - ", "NON-TAXABLE SALES-COIN OP MACH")</f>
        <v xml:space="preserve">          4146 - NON-TAXABLE SALES-COIN OP MACH</v>
      </c>
      <c r="C18" s="11"/>
      <c r="D18" s="2">
        <f>--2713.4</f>
        <v>2713.4</v>
      </c>
      <c r="E18" s="2"/>
      <c r="F18" s="19"/>
      <c r="G18" s="2"/>
      <c r="H18" s="2"/>
      <c r="I18" s="2"/>
      <c r="J18" s="19"/>
      <c r="K18" s="2"/>
      <c r="L18" s="2">
        <f t="shared" si="0"/>
        <v>2713.4</v>
      </c>
      <c r="M18" s="2"/>
      <c r="N18" s="19">
        <f t="shared" si="1"/>
        <v>0</v>
      </c>
      <c r="O18" s="11"/>
      <c r="P18" s="2">
        <f>--2733.6</f>
        <v>2733.6</v>
      </c>
      <c r="Q18" s="2"/>
      <c r="R18" s="19"/>
      <c r="S18" s="2"/>
      <c r="T18" s="2"/>
      <c r="U18" s="2"/>
      <c r="V18" s="19"/>
      <c r="W18" s="2"/>
      <c r="X18" s="2">
        <f t="shared" si="2"/>
        <v>2733.6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--498691.97</f>
        <v>498691.97</v>
      </c>
      <c r="E19" s="2"/>
      <c r="F19" s="19"/>
      <c r="G19" s="2"/>
      <c r="H19" s="2"/>
      <c r="I19" s="2"/>
      <c r="J19" s="19"/>
      <c r="K19" s="2"/>
      <c r="L19" s="2">
        <f t="shared" si="0"/>
        <v>498691.97</v>
      </c>
      <c r="M19" s="2"/>
      <c r="N19" s="19">
        <f t="shared" si="1"/>
        <v>0</v>
      </c>
      <c r="O19" s="11"/>
      <c r="P19" s="2">
        <f>--527363.35</f>
        <v>527363.35</v>
      </c>
      <c r="Q19" s="2"/>
      <c r="R19" s="19"/>
      <c r="S19" s="2"/>
      <c r="T19" s="2"/>
      <c r="U19" s="2"/>
      <c r="V19" s="19"/>
      <c r="W19" s="2"/>
      <c r="X19" s="2">
        <f t="shared" si="2"/>
        <v>527363.35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--15917.66</f>
        <v>15917.66</v>
      </c>
      <c r="E20" s="2"/>
      <c r="F20" s="19"/>
      <c r="G20" s="2"/>
      <c r="H20" s="2"/>
      <c r="I20" s="2"/>
      <c r="J20" s="19"/>
      <c r="K20" s="2"/>
      <c r="L20" s="2">
        <f t="shared" si="0"/>
        <v>15917.66</v>
      </c>
      <c r="M20" s="2"/>
      <c r="N20" s="19">
        <f t="shared" si="1"/>
        <v>0</v>
      </c>
      <c r="O20" s="11"/>
      <c r="P20" s="2">
        <f>--19198.37</f>
        <v>19198.37</v>
      </c>
      <c r="Q20" s="2"/>
      <c r="R20" s="19"/>
      <c r="S20" s="2"/>
      <c r="T20" s="2"/>
      <c r="U20" s="2"/>
      <c r="V20" s="19"/>
      <c r="W20" s="2"/>
      <c r="X20" s="2">
        <f t="shared" si="2"/>
        <v>19198.37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"4200", " - ", "TAXABLE RETURNS")</f>
        <v xml:space="preserve">          4200 - TAXABLE RETURNS</v>
      </c>
      <c r="C21" s="11"/>
      <c r="D21" s="2">
        <f>-52638.54</f>
        <v>-52638.54</v>
      </c>
      <c r="E21" s="2"/>
      <c r="F21" s="19"/>
      <c r="G21" s="2"/>
      <c r="H21" s="2"/>
      <c r="I21" s="2"/>
      <c r="J21" s="19"/>
      <c r="K21" s="2"/>
      <c r="L21" s="2">
        <f t="shared" si="0"/>
        <v>-52638.54</v>
      </c>
      <c r="M21" s="2"/>
      <c r="N21" s="19">
        <f t="shared" si="1"/>
        <v>0</v>
      </c>
      <c r="O21" s="11"/>
      <c r="P21" s="2">
        <f>-85423.75</f>
        <v>-85423.75</v>
      </c>
      <c r="Q21" s="2"/>
      <c r="R21" s="19"/>
      <c r="S21" s="2"/>
      <c r="T21" s="2"/>
      <c r="U21" s="2"/>
      <c r="V21" s="19"/>
      <c r="W21" s="2"/>
      <c r="X21" s="2">
        <f t="shared" si="2"/>
        <v>-85423.75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"4300", " - ", "NON-TAX RETURNS")</f>
        <v xml:space="preserve">          4300 - NON-TAX RETURNS</v>
      </c>
      <c r="C22" s="11"/>
      <c r="D22" s="2">
        <f>-16535.91</f>
        <v>-16535.91</v>
      </c>
      <c r="E22" s="2"/>
      <c r="F22" s="19"/>
      <c r="G22" s="2"/>
      <c r="H22" s="2"/>
      <c r="I22" s="2"/>
      <c r="J22" s="19"/>
      <c r="K22" s="2"/>
      <c r="L22" s="2">
        <f t="shared" si="0"/>
        <v>-16535.91</v>
      </c>
      <c r="M22" s="2"/>
      <c r="N22" s="19">
        <f t="shared" si="1"/>
        <v>0</v>
      </c>
      <c r="O22" s="11"/>
      <c r="P22" s="2">
        <f>-18037.49</f>
        <v>-18037.490000000002</v>
      </c>
      <c r="Q22" s="2"/>
      <c r="R22" s="19"/>
      <c r="S22" s="2"/>
      <c r="T22" s="2"/>
      <c r="U22" s="2"/>
      <c r="V22" s="19"/>
      <c r="W22" s="2"/>
      <c r="X22" s="2">
        <f t="shared" si="2"/>
        <v>-18037.490000000002</v>
      </c>
      <c r="Y22" s="2"/>
      <c r="Z22" s="19">
        <f t="shared" si="3"/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3">
      <c r="A24" s="10"/>
      <c r="B24" s="25" t="s">
        <v>257</v>
      </c>
      <c r="C24" s="10"/>
      <c r="D24" s="4">
        <f>SUM(OSRRefD16x_0)</f>
        <v>1476722.11</v>
      </c>
      <c r="E24" s="4"/>
      <c r="F24" s="12">
        <f t="shared" ref="F24:F59" si="4">IF(D$12=0,0,D24/D$12)</f>
        <v>0.59341066681555232</v>
      </c>
      <c r="G24" s="4"/>
      <c r="H24" s="4">
        <f>SUM(OSRRefH16x_0)</f>
        <v>2359455</v>
      </c>
      <c r="I24" s="4"/>
      <c r="J24" s="12">
        <f t="shared" ref="J24:J59" si="5">IF(H$12=0,0,H24/H$12)</f>
        <v>0.64896802626617189</v>
      </c>
      <c r="K24" s="4"/>
      <c r="L24" s="4">
        <f t="shared" ref="L24:L59" si="6">+D24-H24</f>
        <v>-882732.8899999999</v>
      </c>
      <c r="M24" s="4"/>
      <c r="N24" s="12">
        <f t="shared" ref="N24:N59" si="7">IF(H24=0,0,L24/H24)</f>
        <v>-0.37412575785509783</v>
      </c>
      <c r="O24" s="10"/>
      <c r="P24" s="4">
        <f>SUM(OSRRefP16x_0)</f>
        <v>1708703.24</v>
      </c>
      <c r="Q24" s="4"/>
      <c r="R24" s="12">
        <f t="shared" ref="R24:R59" si="8">IF(P$12=0,0,P24/P$12)</f>
        <v>0.57096044861854889</v>
      </c>
      <c r="S24" s="4"/>
      <c r="T24" s="4">
        <f>SUM(OSRRefT16x_0)</f>
        <v>2815089</v>
      </c>
      <c r="U24" s="4"/>
      <c r="V24" s="12">
        <f t="shared" ref="V24:V59" si="9">IF(T$12=0,0,T24/T$12)</f>
        <v>0.65556052611784676</v>
      </c>
      <c r="W24" s="4"/>
      <c r="X24" s="4">
        <f t="shared" ref="X24:X59" si="10">+P24-T24</f>
        <v>-1106385.76</v>
      </c>
      <c r="Y24" s="4"/>
      <c r="Z24" s="12">
        <f t="shared" ref="Z24:Z59" si="11">IF(T24=0,0,X24/T24)</f>
        <v>-0.39301981571452982</v>
      </c>
    </row>
    <row r="25" spans="1:26" s="24" customFormat="1" hidden="1" outlineLevel="1" x14ac:dyDescent="0.3">
      <c r="A25" s="44"/>
      <c r="B25" s="11" t="str">
        <f>CONCATENATE("          ", "5000", " - ", "PURCHASES @ COST")</f>
        <v xml:space="preserve">          5000 - PURCHASES @ COST</v>
      </c>
      <c r="C25" s="11"/>
      <c r="D25" s="2">
        <v>785954.3</v>
      </c>
      <c r="E25" s="2"/>
      <c r="F25" s="19">
        <f t="shared" si="4"/>
        <v>0.31583035297653306</v>
      </c>
      <c r="G25" s="2"/>
      <c r="H25" s="2">
        <v>2359455</v>
      </c>
      <c r="I25" s="2"/>
      <c r="J25" s="19">
        <f t="shared" si="5"/>
        <v>0.64896802626617189</v>
      </c>
      <c r="K25" s="2"/>
      <c r="L25" s="2">
        <f t="shared" si="6"/>
        <v>-1573500.7</v>
      </c>
      <c r="M25" s="2"/>
      <c r="N25" s="19">
        <f t="shared" si="7"/>
        <v>-0.66689159149040778</v>
      </c>
      <c r="O25" s="11"/>
      <c r="P25" s="2">
        <v>1228090.51</v>
      </c>
      <c r="Q25" s="2"/>
      <c r="R25" s="19">
        <f t="shared" si="8"/>
        <v>0.41036447530454884</v>
      </c>
      <c r="S25" s="2"/>
      <c r="T25" s="2">
        <v>2815089</v>
      </c>
      <c r="U25" s="2"/>
      <c r="V25" s="19">
        <f t="shared" si="9"/>
        <v>0.65556052611784676</v>
      </c>
      <c r="W25" s="2"/>
      <c r="X25" s="2">
        <f t="shared" si="10"/>
        <v>-1586998.49</v>
      </c>
      <c r="Y25" s="2"/>
      <c r="Z25" s="19">
        <f t="shared" si="11"/>
        <v>-0.56374718170544524</v>
      </c>
    </row>
    <row r="26" spans="1:26" s="24" customFormat="1" hidden="1" outlineLevel="1" x14ac:dyDescent="0.3">
      <c r="A26" s="44"/>
      <c r="B26" s="11" t="str">
        <f>CONCATENATE("          ", "5001", " - ", "PURCHASES @ COST-NEW TEXT")</f>
        <v xml:space="preserve">          5001 - PURCHASES @ COST-NEW TEXT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"5002", " - ", "PURCHASES @ COST-USED TEXT")</f>
        <v xml:space="preserve">          5002 - PURCHASES @ COST-USED TEXT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"5004", " - ", "PURCHASES @ COST-DIGITAL TEXT")</f>
        <v xml:space="preserve">          5004 - PURCHASES @ COST-DIGITAL TEXT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"5026", " - ", "PURCHASES @ COST-WRITING INSTR")</f>
        <v xml:space="preserve">          5026 - PURCHASES @ COST-WRITING INSTR</v>
      </c>
      <c r="C29" s="11"/>
      <c r="D29" s="2">
        <v>0</v>
      </c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"5027", " - ", "PURCHASES @ COST-SCHOOL SUPPLI")</f>
        <v xml:space="preserve">          5027 - PURCHASES @ COST-SCHOOL SUPPLI</v>
      </c>
      <c r="C30" s="11"/>
      <c r="D30" s="2">
        <v>0</v>
      </c>
      <c r="E30" s="2"/>
      <c r="F30" s="19">
        <f t="shared" si="4"/>
        <v>0</v>
      </c>
      <c r="G30" s="2"/>
      <c r="H30" s="2"/>
      <c r="I30" s="2"/>
      <c r="J30" s="19">
        <f t="shared" si="5"/>
        <v>0</v>
      </c>
      <c r="K30" s="2"/>
      <c r="L30" s="2">
        <f t="shared" si="6"/>
        <v>0</v>
      </c>
      <c r="M30" s="2"/>
      <c r="N30" s="19">
        <f t="shared" si="7"/>
        <v>0</v>
      </c>
      <c r="O30" s="11"/>
      <c r="P30" s="2">
        <v>0</v>
      </c>
      <c r="Q30" s="2"/>
      <c r="R30" s="19">
        <f t="shared" si="8"/>
        <v>0</v>
      </c>
      <c r="S30" s="2"/>
      <c r="T30" s="2"/>
      <c r="U30" s="2"/>
      <c r="V30" s="19">
        <f t="shared" si="9"/>
        <v>0</v>
      </c>
      <c r="W30" s="2"/>
      <c r="X30" s="2">
        <f t="shared" si="10"/>
        <v>0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"5028", " - ", "PURCHASES @ COST-ART/TECH")</f>
        <v xml:space="preserve">          5028 - PURCHASES @ COST-ART/TECH</v>
      </c>
      <c r="C31" s="11"/>
      <c r="D31" s="2">
        <v>0</v>
      </c>
      <c r="E31" s="2"/>
      <c r="F31" s="19">
        <f t="shared" si="4"/>
        <v>0</v>
      </c>
      <c r="G31" s="2"/>
      <c r="H31" s="2"/>
      <c r="I31" s="2"/>
      <c r="J31" s="19">
        <f t="shared" si="5"/>
        <v>0</v>
      </c>
      <c r="K31" s="2"/>
      <c r="L31" s="2">
        <f t="shared" si="6"/>
        <v>0</v>
      </c>
      <c r="M31" s="2"/>
      <c r="N31" s="19">
        <f t="shared" si="7"/>
        <v>0</v>
      </c>
      <c r="O31" s="11"/>
      <c r="P31" s="2">
        <v>0</v>
      </c>
      <c r="Q31" s="2"/>
      <c r="R31" s="19">
        <f t="shared" si="8"/>
        <v>0</v>
      </c>
      <c r="S31" s="2"/>
      <c r="T31" s="2"/>
      <c r="U31" s="2"/>
      <c r="V31" s="19">
        <f t="shared" si="9"/>
        <v>0</v>
      </c>
      <c r="W31" s="2"/>
      <c r="X31" s="2">
        <f t="shared" si="10"/>
        <v>0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"5031", " - ", "PURCHASES @ COST-FOOD")</f>
        <v xml:space="preserve">          5031 - PURCHASES @ COST-FOOD</v>
      </c>
      <c r="C32" s="11"/>
      <c r="D32" s="2">
        <v>0</v>
      </c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"5040", " - ", "PURCHASES @ COST-LOGO CLOTHING")</f>
        <v xml:space="preserve">          5040 - PURCHASES @ COST-LOGO CLOTHING</v>
      </c>
      <c r="C33" s="11"/>
      <c r="D33" s="2">
        <v>0</v>
      </c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"5041", " - ", "PURCHASES @ COST-LOGO GIFTS")</f>
        <v xml:space="preserve">          5041 - PURCHASES @ COST-LOGO GIFTS</v>
      </c>
      <c r="C34" s="11"/>
      <c r="D34" s="2">
        <v>0</v>
      </c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"5042", " - ", "PURCHASES @ COST-EVERYDAY GIFT")</f>
        <v xml:space="preserve">          5042 - PURCHASES @ COST-EVERYDAY GIFT</v>
      </c>
      <c r="C35" s="11"/>
      <c r="D35" s="2">
        <v>0</v>
      </c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"5043", " - ", "PURCHASES @ COST-CARDS")</f>
        <v xml:space="preserve">          5043 - PURCHASES @ COST-CARDS</v>
      </c>
      <c r="C36" s="11"/>
      <c r="D36" s="2">
        <v>0</v>
      </c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"5044", " - ", "PURCHASES @ COST-ACCESSORIES")</f>
        <v xml:space="preserve">          5044 - PURCHASES @ COST-ACCESSORIES</v>
      </c>
      <c r="C37" s="11"/>
      <c r="D37" s="2">
        <v>0</v>
      </c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"5045", " - ", "PURCHASES @ COST-SPECIAL ORDER")</f>
        <v xml:space="preserve">          5045 - PURCHASES @ COST-SPECIAL ORDER</v>
      </c>
      <c r="C38" s="11"/>
      <c r="D38" s="2">
        <v>0</v>
      </c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s="24" customFormat="1" hidden="1" outlineLevel="1" x14ac:dyDescent="0.3">
      <c r="A39" s="44"/>
      <c r="B39" s="11" t="str">
        <f>CONCATENATE("          ", "5053", " - ", "PURCHASES @ COST-FOOD")</f>
        <v xml:space="preserve">          5053 - PURCHASES @ COST-FOOD</v>
      </c>
      <c r="C39" s="11"/>
      <c r="D39" s="2">
        <v>271762.01</v>
      </c>
      <c r="E39" s="2"/>
      <c r="F39" s="19">
        <f t="shared" si="4"/>
        <v>0.10920570260117173</v>
      </c>
      <c r="G39" s="2"/>
      <c r="H39" s="2"/>
      <c r="I39" s="2"/>
      <c r="J39" s="19">
        <f t="shared" si="5"/>
        <v>0</v>
      </c>
      <c r="K39" s="2"/>
      <c r="L39" s="2">
        <f t="shared" si="6"/>
        <v>271762.01</v>
      </c>
      <c r="M39" s="2"/>
      <c r="N39" s="19">
        <f t="shared" si="7"/>
        <v>0</v>
      </c>
      <c r="O39" s="11"/>
      <c r="P39" s="2">
        <v>297955.23</v>
      </c>
      <c r="Q39" s="2"/>
      <c r="R39" s="19">
        <f t="shared" si="8"/>
        <v>9.9561262486423871E-2</v>
      </c>
      <c r="S39" s="2"/>
      <c r="T39" s="2"/>
      <c r="U39" s="2"/>
      <c r="V39" s="19">
        <f t="shared" si="9"/>
        <v>0</v>
      </c>
      <c r="W39" s="2"/>
      <c r="X39" s="2">
        <f t="shared" si="10"/>
        <v>297955.23</v>
      </c>
      <c r="Y39" s="2"/>
      <c r="Z39" s="19">
        <f t="shared" si="11"/>
        <v>0</v>
      </c>
    </row>
    <row r="40" spans="1:26" s="24" customFormat="1" hidden="1" outlineLevel="1" x14ac:dyDescent="0.3">
      <c r="A40" s="44"/>
      <c r="B40" s="11" t="str">
        <f>CONCATENATE("          ", "5059", " - ", "PURCHASES @ COST-FOOD")</f>
        <v xml:space="preserve">          5059 - PURCHASES @ COST-FOOD</v>
      </c>
      <c r="C40" s="11"/>
      <c r="D40" s="2">
        <v>-79171</v>
      </c>
      <c r="E40" s="2"/>
      <c r="F40" s="19">
        <f t="shared" si="4"/>
        <v>-3.1814324160457035E-2</v>
      </c>
      <c r="G40" s="2"/>
      <c r="H40" s="2"/>
      <c r="I40" s="2"/>
      <c r="J40" s="19">
        <f t="shared" si="5"/>
        <v>0</v>
      </c>
      <c r="K40" s="2"/>
      <c r="L40" s="2">
        <f t="shared" si="6"/>
        <v>-79171</v>
      </c>
      <c r="M40" s="2"/>
      <c r="N40" s="19">
        <f t="shared" si="7"/>
        <v>0</v>
      </c>
      <c r="O40" s="11"/>
      <c r="P40" s="2">
        <v>-83176</v>
      </c>
      <c r="Q40" s="2"/>
      <c r="R40" s="19">
        <f t="shared" si="8"/>
        <v>-2.7793127070032609E-2</v>
      </c>
      <c r="S40" s="2"/>
      <c r="T40" s="2"/>
      <c r="U40" s="2"/>
      <c r="V40" s="19">
        <f t="shared" si="9"/>
        <v>0</v>
      </c>
      <c r="W40" s="2"/>
      <c r="X40" s="2">
        <f t="shared" si="10"/>
        <v>-83176</v>
      </c>
      <c r="Y40" s="2"/>
      <c r="Z40" s="19">
        <f t="shared" si="11"/>
        <v>0</v>
      </c>
    </row>
    <row r="41" spans="1:26" s="24" customFormat="1" hidden="1" outlineLevel="1" x14ac:dyDescent="0.3">
      <c r="A41" s="44"/>
      <c r="B41" s="11" t="str">
        <f>CONCATENATE("          ", "5081", " - ", "PURCHASES @ COST-ELECTRONICS")</f>
        <v xml:space="preserve">          5081 - PURCHASES @ COST-ELECTRONICS</v>
      </c>
      <c r="C41" s="11"/>
      <c r="D41" s="2">
        <v>0</v>
      </c>
      <c r="E41" s="2"/>
      <c r="F41" s="19">
        <f t="shared" si="4"/>
        <v>0</v>
      </c>
      <c r="G41" s="2"/>
      <c r="H41" s="2"/>
      <c r="I41" s="2"/>
      <c r="J41" s="19">
        <f t="shared" si="5"/>
        <v>0</v>
      </c>
      <c r="K41" s="2"/>
      <c r="L41" s="2">
        <f t="shared" si="6"/>
        <v>0</v>
      </c>
      <c r="M41" s="2"/>
      <c r="N41" s="19">
        <f t="shared" si="7"/>
        <v>0</v>
      </c>
      <c r="O41" s="11"/>
      <c r="P41" s="2">
        <v>0</v>
      </c>
      <c r="Q41" s="2"/>
      <c r="R41" s="19">
        <f t="shared" si="8"/>
        <v>0</v>
      </c>
      <c r="S41" s="2"/>
      <c r="T41" s="2"/>
      <c r="U41" s="2"/>
      <c r="V41" s="19">
        <f t="shared" si="9"/>
        <v>0</v>
      </c>
      <c r="W41" s="2"/>
      <c r="X41" s="2">
        <f t="shared" si="10"/>
        <v>0</v>
      </c>
      <c r="Y41" s="2"/>
      <c r="Z41" s="19">
        <f t="shared" si="11"/>
        <v>0</v>
      </c>
    </row>
    <row r="42" spans="1:26" s="24" customFormat="1" hidden="1" outlineLevel="1" x14ac:dyDescent="0.3">
      <c r="A42" s="44"/>
      <c r="B42" s="11" t="str">
        <f>CONCATENATE("          ", "5082", " - ", "PURCHASES @ COST-COMPUTER HARD")</f>
        <v xml:space="preserve">          5082 - PURCHASES @ COST-COMPUTER HARD</v>
      </c>
      <c r="C42" s="11"/>
      <c r="D42" s="2">
        <v>-23501.200000000001</v>
      </c>
      <c r="E42" s="2"/>
      <c r="F42" s="19">
        <f t="shared" si="4"/>
        <v>-9.4437962759057349E-3</v>
      </c>
      <c r="G42" s="2"/>
      <c r="H42" s="2"/>
      <c r="I42" s="2"/>
      <c r="J42" s="19">
        <f t="shared" si="5"/>
        <v>0</v>
      </c>
      <c r="K42" s="2"/>
      <c r="L42" s="2">
        <f t="shared" si="6"/>
        <v>-23501.200000000001</v>
      </c>
      <c r="M42" s="2"/>
      <c r="N42" s="19">
        <f t="shared" si="7"/>
        <v>0</v>
      </c>
      <c r="O42" s="11"/>
      <c r="P42" s="2">
        <v>-34403.82</v>
      </c>
      <c r="Q42" s="2"/>
      <c r="R42" s="19">
        <f t="shared" si="8"/>
        <v>-1.14959813041566E-2</v>
      </c>
      <c r="S42" s="2"/>
      <c r="T42" s="2"/>
      <c r="U42" s="2"/>
      <c r="V42" s="19">
        <f t="shared" si="9"/>
        <v>0</v>
      </c>
      <c r="W42" s="2"/>
      <c r="X42" s="2">
        <f t="shared" si="10"/>
        <v>-34403.82</v>
      </c>
      <c r="Y42" s="2"/>
      <c r="Z42" s="19">
        <f t="shared" si="11"/>
        <v>0</v>
      </c>
    </row>
    <row r="43" spans="1:26" s="24" customFormat="1" hidden="1" outlineLevel="1" x14ac:dyDescent="0.3">
      <c r="A43" s="44"/>
      <c r="B43" s="11" t="str">
        <f>CONCATENATE("          ", "5083", " - ", "PURCHASES @ COST-COMPUTER EQUI")</f>
        <v xml:space="preserve">          5083 - PURCHASES @ COST-COMPUTER EQUI</v>
      </c>
      <c r="C43" s="11"/>
      <c r="D43" s="2">
        <v>0</v>
      </c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0</v>
      </c>
      <c r="Q43" s="2"/>
      <c r="R43" s="19">
        <f t="shared" si="8"/>
        <v>0</v>
      </c>
      <c r="S43" s="2"/>
      <c r="T43" s="2"/>
      <c r="U43" s="2"/>
      <c r="V43" s="19">
        <f t="shared" si="9"/>
        <v>0</v>
      </c>
      <c r="W43" s="2"/>
      <c r="X43" s="2">
        <f t="shared" si="10"/>
        <v>0</v>
      </c>
      <c r="Y43" s="2"/>
      <c r="Z43" s="19">
        <f t="shared" si="11"/>
        <v>0</v>
      </c>
    </row>
    <row r="44" spans="1:26" s="24" customFormat="1" hidden="1" outlineLevel="1" x14ac:dyDescent="0.3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0</v>
      </c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0</v>
      </c>
      <c r="Q44" s="2"/>
      <c r="R44" s="19">
        <f t="shared" si="8"/>
        <v>0</v>
      </c>
      <c r="S44" s="2"/>
      <c r="T44" s="2"/>
      <c r="U44" s="2"/>
      <c r="V44" s="19">
        <f t="shared" si="9"/>
        <v>0</v>
      </c>
      <c r="W44" s="2"/>
      <c r="X44" s="2">
        <f t="shared" si="10"/>
        <v>0</v>
      </c>
      <c r="Y44" s="2"/>
      <c r="Z44" s="19">
        <f t="shared" si="11"/>
        <v>0</v>
      </c>
    </row>
    <row r="45" spans="1:26" s="24" customFormat="1" hidden="1" outlineLevel="1" x14ac:dyDescent="0.3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0</v>
      </c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0</v>
      </c>
      <c r="Q45" s="2"/>
      <c r="R45" s="19">
        <f t="shared" si="8"/>
        <v>0</v>
      </c>
      <c r="S45" s="2"/>
      <c r="T45" s="2"/>
      <c r="U45" s="2"/>
      <c r="V45" s="19">
        <f t="shared" si="9"/>
        <v>0</v>
      </c>
      <c r="W45" s="2"/>
      <c r="X45" s="2">
        <f t="shared" si="10"/>
        <v>0</v>
      </c>
      <c r="Y45" s="2"/>
      <c r="Z45" s="19">
        <f t="shared" si="11"/>
        <v>0</v>
      </c>
    </row>
    <row r="46" spans="1:26" s="24" customFormat="1" hidden="1" outlineLevel="1" x14ac:dyDescent="0.3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-589608.85</v>
      </c>
      <c r="E46" s="2"/>
      <c r="F46" s="19">
        <f t="shared" si="4"/>
        <v>-0.23693027853348181</v>
      </c>
      <c r="G46" s="2"/>
      <c r="H46" s="2"/>
      <c r="I46" s="2"/>
      <c r="J46" s="19">
        <f t="shared" si="5"/>
        <v>0</v>
      </c>
      <c r="K46" s="2"/>
      <c r="L46" s="2">
        <f t="shared" si="6"/>
        <v>-589608.85</v>
      </c>
      <c r="M46" s="2"/>
      <c r="N46" s="19">
        <f t="shared" si="7"/>
        <v>0</v>
      </c>
      <c r="O46" s="11"/>
      <c r="P46" s="2">
        <v>-1033340.17</v>
      </c>
      <c r="Q46" s="2"/>
      <c r="R46" s="19">
        <f t="shared" si="8"/>
        <v>-0.34528896137562637</v>
      </c>
      <c r="S46" s="2"/>
      <c r="T46" s="2"/>
      <c r="U46" s="2"/>
      <c r="V46" s="19">
        <f t="shared" si="9"/>
        <v>0</v>
      </c>
      <c r="W46" s="2"/>
      <c r="X46" s="2">
        <f t="shared" si="10"/>
        <v>-1033340.17</v>
      </c>
      <c r="Y46" s="2"/>
      <c r="Z46" s="19">
        <f t="shared" si="11"/>
        <v>0</v>
      </c>
    </row>
    <row r="47" spans="1:26" s="24" customFormat="1" hidden="1" outlineLevel="1" x14ac:dyDescent="0.3">
      <c r="A47" s="44"/>
      <c r="B47" s="11" t="str">
        <f>CONCATENATE("          ", "5300", " - ", "COG$ OFFSET")</f>
        <v xml:space="preserve">          5300 - COG$ OFFSET</v>
      </c>
      <c r="C47" s="11"/>
      <c r="D47" s="2">
        <v>1104681.67</v>
      </c>
      <c r="E47" s="2"/>
      <c r="F47" s="19">
        <f t="shared" si="4"/>
        <v>0.44390876385917855</v>
      </c>
      <c r="G47" s="2"/>
      <c r="H47" s="2"/>
      <c r="I47" s="2"/>
      <c r="J47" s="19">
        <f t="shared" si="5"/>
        <v>0</v>
      </c>
      <c r="K47" s="2"/>
      <c r="L47" s="2">
        <f t="shared" si="6"/>
        <v>1104681.67</v>
      </c>
      <c r="M47" s="2"/>
      <c r="N47" s="19">
        <f t="shared" si="7"/>
        <v>0</v>
      </c>
      <c r="O47" s="11"/>
      <c r="P47" s="2">
        <v>1323367.17</v>
      </c>
      <c r="Q47" s="2"/>
      <c r="R47" s="19">
        <f t="shared" si="8"/>
        <v>0.44220101851639226</v>
      </c>
      <c r="S47" s="2"/>
      <c r="T47" s="2"/>
      <c r="U47" s="2"/>
      <c r="V47" s="19">
        <f t="shared" si="9"/>
        <v>0</v>
      </c>
      <c r="W47" s="2"/>
      <c r="X47" s="2">
        <f t="shared" si="10"/>
        <v>1323367.17</v>
      </c>
      <c r="Y47" s="2"/>
      <c r="Z47" s="19">
        <f t="shared" si="11"/>
        <v>0</v>
      </c>
    </row>
    <row r="48" spans="1:26" s="24" customFormat="1" hidden="1" outlineLevel="1" x14ac:dyDescent="0.3">
      <c r="A48" s="44"/>
      <c r="B48" s="11" t="str">
        <f>CONCATENATE("          ", "5500", " - ", "FREIGHT-IN")</f>
        <v xml:space="preserve">          5500 - FREIGHT-IN</v>
      </c>
      <c r="C48" s="11"/>
      <c r="D48" s="2">
        <v>6605.18</v>
      </c>
      <c r="E48" s="2"/>
      <c r="F48" s="19">
        <f t="shared" si="4"/>
        <v>2.6542463485135668E-3</v>
      </c>
      <c r="G48" s="2"/>
      <c r="H48" s="2"/>
      <c r="I48" s="2"/>
      <c r="J48" s="19">
        <f t="shared" si="5"/>
        <v>0</v>
      </c>
      <c r="K48" s="2"/>
      <c r="L48" s="2">
        <f t="shared" si="6"/>
        <v>6605.18</v>
      </c>
      <c r="M48" s="2"/>
      <c r="N48" s="19">
        <f t="shared" si="7"/>
        <v>0</v>
      </c>
      <c r="O48" s="11"/>
      <c r="P48" s="2">
        <v>10210.32</v>
      </c>
      <c r="Q48" s="2"/>
      <c r="R48" s="19">
        <f t="shared" si="8"/>
        <v>3.411762060999511E-3</v>
      </c>
      <c r="S48" s="2"/>
      <c r="T48" s="2"/>
      <c r="U48" s="2"/>
      <c r="V48" s="19">
        <f t="shared" si="9"/>
        <v>0</v>
      </c>
      <c r="W48" s="2"/>
      <c r="X48" s="2">
        <f t="shared" si="10"/>
        <v>10210.32</v>
      </c>
      <c r="Y48" s="2"/>
      <c r="Z48" s="19">
        <f t="shared" si="11"/>
        <v>0</v>
      </c>
    </row>
    <row r="49" spans="1:26" s="24" customFormat="1" hidden="1" outlineLevel="1" x14ac:dyDescent="0.3">
      <c r="A49" s="44"/>
      <c r="B49" s="11" t="str">
        <f>CONCATENATE("          ", "5501", " - ", "FREIGHT-IN-NEW TEXT")</f>
        <v xml:space="preserve">          5501 - FREIGHT-IN-NEW TEXT</v>
      </c>
      <c r="C49" s="11"/>
      <c r="D49" s="2">
        <v>0</v>
      </c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0</v>
      </c>
      <c r="Q49" s="2"/>
      <c r="R49" s="19">
        <f t="shared" si="8"/>
        <v>0</v>
      </c>
      <c r="S49" s="2"/>
      <c r="T49" s="2"/>
      <c r="U49" s="2"/>
      <c r="V49" s="19">
        <f t="shared" si="9"/>
        <v>0</v>
      </c>
      <c r="W49" s="2"/>
      <c r="X49" s="2">
        <f t="shared" si="10"/>
        <v>0</v>
      </c>
      <c r="Y49" s="2"/>
      <c r="Z49" s="19">
        <f t="shared" si="11"/>
        <v>0</v>
      </c>
    </row>
    <row r="50" spans="1:26" s="24" customFormat="1" hidden="1" outlineLevel="1" x14ac:dyDescent="0.3">
      <c r="A50" s="44"/>
      <c r="B50" s="11" t="str">
        <f>CONCATENATE("          ", "5502", " - ", "FREIGHT-IN-USED TEXT")</f>
        <v xml:space="preserve">          5502 - FREIGHT-IN-USED TEXT</v>
      </c>
      <c r="C50" s="11"/>
      <c r="D50" s="2">
        <v>0</v>
      </c>
      <c r="E50" s="2"/>
      <c r="F50" s="19">
        <f t="shared" si="4"/>
        <v>0</v>
      </c>
      <c r="G50" s="2"/>
      <c r="H50" s="2"/>
      <c r="I50" s="2"/>
      <c r="J50" s="19">
        <f t="shared" si="5"/>
        <v>0</v>
      </c>
      <c r="K50" s="2"/>
      <c r="L50" s="2">
        <f t="shared" si="6"/>
        <v>0</v>
      </c>
      <c r="M50" s="2"/>
      <c r="N50" s="19">
        <f t="shared" si="7"/>
        <v>0</v>
      </c>
      <c r="O50" s="11"/>
      <c r="P50" s="2">
        <v>0</v>
      </c>
      <c r="Q50" s="2"/>
      <c r="R50" s="19">
        <f t="shared" si="8"/>
        <v>0</v>
      </c>
      <c r="S50" s="2"/>
      <c r="T50" s="2"/>
      <c r="U50" s="2"/>
      <c r="V50" s="19">
        <f t="shared" si="9"/>
        <v>0</v>
      </c>
      <c r="W50" s="2"/>
      <c r="X50" s="2">
        <f t="shared" si="10"/>
        <v>0</v>
      </c>
      <c r="Y50" s="2"/>
      <c r="Z50" s="19">
        <f t="shared" si="11"/>
        <v>0</v>
      </c>
    </row>
    <row r="51" spans="1:26" s="24" customFormat="1" hidden="1" outlineLevel="1" x14ac:dyDescent="0.3">
      <c r="A51" s="44"/>
      <c r="B51" s="11" t="str">
        <f>CONCATENATE("          ", "5518", " - ", "FREIGHT-IN-STUDY GUIDES")</f>
        <v xml:space="preserve">          5518 - FREIGHT-IN-STUDY GUIDES</v>
      </c>
      <c r="C51" s="11"/>
      <c r="D51" s="2"/>
      <c r="E51" s="2"/>
      <c r="F51" s="19">
        <f t="shared" si="4"/>
        <v>0</v>
      </c>
      <c r="G51" s="2"/>
      <c r="H51" s="2"/>
      <c r="I51" s="2"/>
      <c r="J51" s="19">
        <f t="shared" si="5"/>
        <v>0</v>
      </c>
      <c r="K51" s="2"/>
      <c r="L51" s="2">
        <f t="shared" si="6"/>
        <v>0</v>
      </c>
      <c r="M51" s="2"/>
      <c r="N51" s="19">
        <f t="shared" si="7"/>
        <v>0</v>
      </c>
      <c r="O51" s="11"/>
      <c r="P51" s="2">
        <v>0</v>
      </c>
      <c r="Q51" s="2"/>
      <c r="R51" s="19">
        <f t="shared" si="8"/>
        <v>0</v>
      </c>
      <c r="S51" s="2"/>
      <c r="T51" s="2"/>
      <c r="U51" s="2"/>
      <c r="V51" s="19">
        <f t="shared" si="9"/>
        <v>0</v>
      </c>
      <c r="W51" s="2"/>
      <c r="X51" s="2">
        <f t="shared" si="10"/>
        <v>0</v>
      </c>
      <c r="Y51" s="2"/>
      <c r="Z51" s="19">
        <f t="shared" si="11"/>
        <v>0</v>
      </c>
    </row>
    <row r="52" spans="1:26" s="24" customFormat="1" hidden="1" outlineLevel="1" x14ac:dyDescent="0.3">
      <c r="A52" s="44"/>
      <c r="B52" s="11" t="str">
        <f>CONCATENATE("          ", "5527", " - ", "FREIGHT-IN-SCHOOL SUPPLIES")</f>
        <v xml:space="preserve">          5527 - FREIGHT-IN-SCHOOL SUPPLIES</v>
      </c>
      <c r="C52" s="11"/>
      <c r="D52" s="2">
        <v>0</v>
      </c>
      <c r="E52" s="2"/>
      <c r="F52" s="19">
        <f t="shared" si="4"/>
        <v>0</v>
      </c>
      <c r="G52" s="2"/>
      <c r="H52" s="2"/>
      <c r="I52" s="2"/>
      <c r="J52" s="19">
        <f t="shared" si="5"/>
        <v>0</v>
      </c>
      <c r="K52" s="2"/>
      <c r="L52" s="2">
        <f t="shared" si="6"/>
        <v>0</v>
      </c>
      <c r="M52" s="2"/>
      <c r="N52" s="19">
        <f t="shared" si="7"/>
        <v>0</v>
      </c>
      <c r="O52" s="11"/>
      <c r="P52" s="2">
        <v>0</v>
      </c>
      <c r="Q52" s="2"/>
      <c r="R52" s="19">
        <f t="shared" si="8"/>
        <v>0</v>
      </c>
      <c r="S52" s="2"/>
      <c r="T52" s="2"/>
      <c r="U52" s="2"/>
      <c r="V52" s="19">
        <f t="shared" si="9"/>
        <v>0</v>
      </c>
      <c r="W52" s="2"/>
      <c r="X52" s="2">
        <f t="shared" si="10"/>
        <v>0</v>
      </c>
      <c r="Y52" s="2"/>
      <c r="Z52" s="19">
        <f t="shared" si="11"/>
        <v>0</v>
      </c>
    </row>
    <row r="53" spans="1:26" s="24" customFormat="1" hidden="1" outlineLevel="1" x14ac:dyDescent="0.3">
      <c r="A53" s="44"/>
      <c r="B53" s="11" t="str">
        <f>CONCATENATE("          ", "5528", " - ", "FREIGHT-IN-ART/TECH")</f>
        <v xml:space="preserve">          5528 - FREIGHT-IN-ART/TECH</v>
      </c>
      <c r="C53" s="11"/>
      <c r="D53" s="2">
        <v>0</v>
      </c>
      <c r="E53" s="2"/>
      <c r="F53" s="19">
        <f t="shared" si="4"/>
        <v>0</v>
      </c>
      <c r="G53" s="2"/>
      <c r="H53" s="2"/>
      <c r="I53" s="2"/>
      <c r="J53" s="19">
        <f t="shared" si="5"/>
        <v>0</v>
      </c>
      <c r="K53" s="2"/>
      <c r="L53" s="2">
        <f t="shared" si="6"/>
        <v>0</v>
      </c>
      <c r="M53" s="2"/>
      <c r="N53" s="19">
        <f t="shared" si="7"/>
        <v>0</v>
      </c>
      <c r="O53" s="11"/>
      <c r="P53" s="2">
        <v>0</v>
      </c>
      <c r="Q53" s="2"/>
      <c r="R53" s="19">
        <f t="shared" si="8"/>
        <v>0</v>
      </c>
      <c r="S53" s="2"/>
      <c r="T53" s="2"/>
      <c r="U53" s="2"/>
      <c r="V53" s="19">
        <f t="shared" si="9"/>
        <v>0</v>
      </c>
      <c r="W53" s="2"/>
      <c r="X53" s="2">
        <f t="shared" si="10"/>
        <v>0</v>
      </c>
      <c r="Y53" s="2"/>
      <c r="Z53" s="19">
        <f t="shared" si="11"/>
        <v>0</v>
      </c>
    </row>
    <row r="54" spans="1:26" s="24" customFormat="1" hidden="1" outlineLevel="1" x14ac:dyDescent="0.3">
      <c r="A54" s="44"/>
      <c r="B54" s="11" t="str">
        <f>CONCATENATE("          ", "5540", " - ", "FREIGHT-IN-LOGO CLOTHING")</f>
        <v xml:space="preserve">          5540 - FREIGHT-IN-LOGO CLOTHING</v>
      </c>
      <c r="C54" s="11"/>
      <c r="D54" s="2">
        <v>0</v>
      </c>
      <c r="E54" s="2"/>
      <c r="F54" s="19">
        <f t="shared" si="4"/>
        <v>0</v>
      </c>
      <c r="G54" s="2"/>
      <c r="H54" s="2"/>
      <c r="I54" s="2"/>
      <c r="J54" s="19">
        <f t="shared" si="5"/>
        <v>0</v>
      </c>
      <c r="K54" s="2"/>
      <c r="L54" s="2">
        <f t="shared" si="6"/>
        <v>0</v>
      </c>
      <c r="M54" s="2"/>
      <c r="N54" s="19">
        <f t="shared" si="7"/>
        <v>0</v>
      </c>
      <c r="O54" s="11"/>
      <c r="P54" s="2">
        <v>0</v>
      </c>
      <c r="Q54" s="2"/>
      <c r="R54" s="19">
        <f t="shared" si="8"/>
        <v>0</v>
      </c>
      <c r="S54" s="2"/>
      <c r="T54" s="2"/>
      <c r="U54" s="2"/>
      <c r="V54" s="19">
        <f t="shared" si="9"/>
        <v>0</v>
      </c>
      <c r="W54" s="2"/>
      <c r="X54" s="2">
        <f t="shared" si="10"/>
        <v>0</v>
      </c>
      <c r="Y54" s="2"/>
      <c r="Z54" s="19">
        <f t="shared" si="11"/>
        <v>0</v>
      </c>
    </row>
    <row r="55" spans="1:26" s="24" customFormat="1" hidden="1" outlineLevel="1" x14ac:dyDescent="0.3">
      <c r="A55" s="44"/>
      <c r="B55" s="11" t="str">
        <f>CONCATENATE("          ", "5541", " - ", "FREIGHT-IN-LOGO GIFTS")</f>
        <v xml:space="preserve">          5541 - FREIGHT-IN-LOGO GIFTS</v>
      </c>
      <c r="C55" s="11"/>
      <c r="D55" s="2">
        <v>0</v>
      </c>
      <c r="E55" s="2"/>
      <c r="F55" s="19">
        <f t="shared" si="4"/>
        <v>0</v>
      </c>
      <c r="G55" s="2"/>
      <c r="H55" s="2"/>
      <c r="I55" s="2"/>
      <c r="J55" s="19">
        <f t="shared" si="5"/>
        <v>0</v>
      </c>
      <c r="K55" s="2"/>
      <c r="L55" s="2">
        <f t="shared" si="6"/>
        <v>0</v>
      </c>
      <c r="M55" s="2"/>
      <c r="N55" s="19">
        <f t="shared" si="7"/>
        <v>0</v>
      </c>
      <c r="O55" s="11"/>
      <c r="P55" s="2">
        <v>0</v>
      </c>
      <c r="Q55" s="2"/>
      <c r="R55" s="19">
        <f t="shared" si="8"/>
        <v>0</v>
      </c>
      <c r="S55" s="2"/>
      <c r="T55" s="2"/>
      <c r="U55" s="2"/>
      <c r="V55" s="19">
        <f t="shared" si="9"/>
        <v>0</v>
      </c>
      <c r="W55" s="2"/>
      <c r="X55" s="2">
        <f t="shared" si="10"/>
        <v>0</v>
      </c>
      <c r="Y55" s="2"/>
      <c r="Z55" s="19">
        <f t="shared" si="11"/>
        <v>0</v>
      </c>
    </row>
    <row r="56" spans="1:26" s="24" customFormat="1" hidden="1" outlineLevel="1" x14ac:dyDescent="0.3">
      <c r="A56" s="44"/>
      <c r="B56" s="11" t="str">
        <f>CONCATENATE("          ", "5542", " - ", "FREIGHT-IN-EVERYDAY GIFTS")</f>
        <v xml:space="preserve">          5542 - FREIGHT-IN-EVERYDAY GIFTS</v>
      </c>
      <c r="C56" s="11"/>
      <c r="D56" s="2">
        <v>0</v>
      </c>
      <c r="E56" s="2"/>
      <c r="F56" s="19">
        <f t="shared" si="4"/>
        <v>0</v>
      </c>
      <c r="G56" s="2"/>
      <c r="H56" s="2"/>
      <c r="I56" s="2"/>
      <c r="J56" s="19">
        <f t="shared" si="5"/>
        <v>0</v>
      </c>
      <c r="K56" s="2"/>
      <c r="L56" s="2">
        <f t="shared" si="6"/>
        <v>0</v>
      </c>
      <c r="M56" s="2"/>
      <c r="N56" s="19">
        <f t="shared" si="7"/>
        <v>0</v>
      </c>
      <c r="O56" s="11"/>
      <c r="P56" s="2">
        <v>0</v>
      </c>
      <c r="Q56" s="2"/>
      <c r="R56" s="19">
        <f t="shared" si="8"/>
        <v>0</v>
      </c>
      <c r="S56" s="2"/>
      <c r="T56" s="2"/>
      <c r="U56" s="2"/>
      <c r="V56" s="19">
        <f t="shared" si="9"/>
        <v>0</v>
      </c>
      <c r="W56" s="2"/>
      <c r="X56" s="2">
        <f t="shared" si="10"/>
        <v>0</v>
      </c>
      <c r="Y56" s="2"/>
      <c r="Z56" s="19">
        <f t="shared" si="11"/>
        <v>0</v>
      </c>
    </row>
    <row r="57" spans="1:26" s="24" customFormat="1" hidden="1" outlineLevel="1" x14ac:dyDescent="0.3">
      <c r="A57" s="44"/>
      <c r="B57" s="11" t="str">
        <f>CONCATENATE("          ", "5544", " - ", "FREIGHT-IN-ACCESSORIES")</f>
        <v xml:space="preserve">          5544 - FREIGHT-IN-ACCESSORIES</v>
      </c>
      <c r="C57" s="11"/>
      <c r="D57" s="2">
        <v>0</v>
      </c>
      <c r="E57" s="2"/>
      <c r="F57" s="19">
        <f t="shared" si="4"/>
        <v>0</v>
      </c>
      <c r="G57" s="2"/>
      <c r="H57" s="2"/>
      <c r="I57" s="2"/>
      <c r="J57" s="19">
        <f t="shared" si="5"/>
        <v>0</v>
      </c>
      <c r="K57" s="2"/>
      <c r="L57" s="2">
        <f t="shared" si="6"/>
        <v>0</v>
      </c>
      <c r="M57" s="2"/>
      <c r="N57" s="19">
        <f t="shared" si="7"/>
        <v>0</v>
      </c>
      <c r="O57" s="11"/>
      <c r="P57" s="2">
        <v>0</v>
      </c>
      <c r="Q57" s="2"/>
      <c r="R57" s="19">
        <f t="shared" si="8"/>
        <v>0</v>
      </c>
      <c r="S57" s="2"/>
      <c r="T57" s="2"/>
      <c r="U57" s="2"/>
      <c r="V57" s="19">
        <f t="shared" si="9"/>
        <v>0</v>
      </c>
      <c r="W57" s="2"/>
      <c r="X57" s="2">
        <f t="shared" si="10"/>
        <v>0</v>
      </c>
      <c r="Y57" s="2"/>
      <c r="Z57" s="19">
        <f t="shared" si="11"/>
        <v>0</v>
      </c>
    </row>
    <row r="58" spans="1:26" s="24" customFormat="1" hidden="1" outlineLevel="1" x14ac:dyDescent="0.3">
      <c r="A58" s="44"/>
      <c r="B58" s="11" t="str">
        <f>CONCATENATE("          ", "5545", " - ", "FREIGHT-IN-SPECIAL ORDERS")</f>
        <v xml:space="preserve">          5545 - FREIGHT-IN-SPECIAL ORDERS</v>
      </c>
      <c r="C58" s="11"/>
      <c r="D58" s="2">
        <v>0</v>
      </c>
      <c r="E58" s="2"/>
      <c r="F58" s="19">
        <f t="shared" si="4"/>
        <v>0</v>
      </c>
      <c r="G58" s="2"/>
      <c r="H58" s="2"/>
      <c r="I58" s="2"/>
      <c r="J58" s="19">
        <f t="shared" si="5"/>
        <v>0</v>
      </c>
      <c r="K58" s="2"/>
      <c r="L58" s="2">
        <f t="shared" si="6"/>
        <v>0</v>
      </c>
      <c r="M58" s="2"/>
      <c r="N58" s="19">
        <f t="shared" si="7"/>
        <v>0</v>
      </c>
      <c r="O58" s="11"/>
      <c r="P58" s="2">
        <v>0</v>
      </c>
      <c r="Q58" s="2"/>
      <c r="R58" s="19">
        <f t="shared" si="8"/>
        <v>0</v>
      </c>
      <c r="S58" s="2"/>
      <c r="T58" s="2"/>
      <c r="U58" s="2"/>
      <c r="V58" s="19">
        <f t="shared" si="9"/>
        <v>0</v>
      </c>
      <c r="W58" s="2"/>
      <c r="X58" s="2">
        <f t="shared" si="10"/>
        <v>0</v>
      </c>
      <c r="Y58" s="2"/>
      <c r="Z58" s="19">
        <f t="shared" si="11"/>
        <v>0</v>
      </c>
    </row>
    <row r="59" spans="1:26" s="24" customFormat="1" hidden="1" outlineLevel="1" x14ac:dyDescent="0.3">
      <c r="A59" s="44"/>
      <c r="B59" s="11" t="str">
        <f>CONCATENATE("          ", "5583", " - ", "FREIGHT-IN-COMPUTER EQUIPMENT")</f>
        <v xml:space="preserve">          5583 - FREIGHT-IN-COMPUTER EQUIPMENT</v>
      </c>
      <c r="C59" s="11"/>
      <c r="D59" s="2">
        <v>0</v>
      </c>
      <c r="E59" s="2"/>
      <c r="F59" s="19">
        <f t="shared" si="4"/>
        <v>0</v>
      </c>
      <c r="G59" s="2"/>
      <c r="H59" s="2"/>
      <c r="I59" s="2"/>
      <c r="J59" s="19">
        <f t="shared" si="5"/>
        <v>0</v>
      </c>
      <c r="K59" s="2"/>
      <c r="L59" s="2">
        <f t="shared" si="6"/>
        <v>0</v>
      </c>
      <c r="M59" s="2"/>
      <c r="N59" s="19">
        <f t="shared" si="7"/>
        <v>0</v>
      </c>
      <c r="O59" s="11"/>
      <c r="P59" s="2">
        <v>0</v>
      </c>
      <c r="Q59" s="2"/>
      <c r="R59" s="19">
        <f t="shared" si="8"/>
        <v>0</v>
      </c>
      <c r="S59" s="2"/>
      <c r="T59" s="2"/>
      <c r="U59" s="2"/>
      <c r="V59" s="19">
        <f t="shared" si="9"/>
        <v>0</v>
      </c>
      <c r="W59" s="2"/>
      <c r="X59" s="2">
        <f t="shared" si="10"/>
        <v>0</v>
      </c>
      <c r="Y59" s="2"/>
      <c r="Z59" s="19">
        <f t="shared" si="11"/>
        <v>0</v>
      </c>
    </row>
    <row r="60" spans="1:26" x14ac:dyDescent="0.3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3">
      <c r="A61" s="10"/>
      <c r="B61" s="26" t="s">
        <v>108</v>
      </c>
      <c r="C61" s="26"/>
      <c r="D61" s="21">
        <f>D12-D24</f>
        <v>1011811.0299999996</v>
      </c>
      <c r="E61" s="13"/>
      <c r="F61" s="20">
        <f>IF(D$12=0,0,D61/D$12)</f>
        <v>0.40658933318444762</v>
      </c>
      <c r="G61" s="13"/>
      <c r="H61" s="21">
        <f>H12-H24</f>
        <v>1276248</v>
      </c>
      <c r="I61" s="13"/>
      <c r="J61" s="20">
        <f>IF(H$12=0,0,H61/H$12)</f>
        <v>0.35103197373382811</v>
      </c>
      <c r="K61" s="16"/>
      <c r="L61" s="21">
        <f>+D61-H61</f>
        <v>-264436.97000000044</v>
      </c>
      <c r="M61" s="16"/>
      <c r="N61" s="20">
        <f>IF(H61=0,0,L61/H61)</f>
        <v>-0.20719873410183634</v>
      </c>
      <c r="O61" s="25"/>
      <c r="P61" s="21">
        <f>P12-P24</f>
        <v>1283979.0800000003</v>
      </c>
      <c r="Q61" s="13"/>
      <c r="R61" s="20">
        <f>IF(P$12=0,0,P61/P$12)</f>
        <v>0.42903955138145106</v>
      </c>
      <c r="S61" s="13"/>
      <c r="T61" s="21">
        <f>T12-T24</f>
        <v>1479082</v>
      </c>
      <c r="U61" s="13"/>
      <c r="V61" s="20">
        <f>IF(T$12=0,0,T61/T$12)</f>
        <v>0.34443947388215329</v>
      </c>
      <c r="W61" s="16"/>
      <c r="X61" s="21">
        <f>+P61-T61</f>
        <v>-195102.91999999969</v>
      </c>
      <c r="Y61" s="16"/>
      <c r="Z61" s="20">
        <f>IF(T61=0,0,X61/T61)</f>
        <v>-0.13190811598004687</v>
      </c>
    </row>
    <row r="62" spans="1:26" x14ac:dyDescent="0.3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3">
      <c r="A63" s="10"/>
      <c r="B63" s="25" t="s">
        <v>295</v>
      </c>
      <c r="C63" s="10"/>
      <c r="D63" s="22">
        <f>SUM(OSRRefD22x_0)</f>
        <v>921450.81000000017</v>
      </c>
      <c r="E63" s="22"/>
      <c r="F63" s="31">
        <f t="shared" ref="F63:F74" si="12">IF(D$12=0,0,D63/D$12)</f>
        <v>0.37027869759451959</v>
      </c>
      <c r="G63" s="22"/>
      <c r="H63" s="22">
        <f>SUM(OSRRefH22x_0)</f>
        <v>1147668.3514493448</v>
      </c>
      <c r="I63" s="22"/>
      <c r="J63" s="31">
        <f t="shared" ref="J63:J74" si="13">IF(H$12=0,0,H63/H$12)</f>
        <v>0.3156661452955164</v>
      </c>
      <c r="K63" s="4"/>
      <c r="L63" s="22">
        <f t="shared" ref="L63:L74" si="14">+D63-H63</f>
        <v>-226217.5414493446</v>
      </c>
      <c r="M63" s="4"/>
      <c r="N63" s="31">
        <f t="shared" ref="N63:N74" si="15">IF(H63=0,0,L63/H63)</f>
        <v>-0.19711055128745464</v>
      </c>
      <c r="O63" s="10"/>
      <c r="P63" s="22">
        <f>SUM(OSRRefP22x_0)</f>
        <v>1799939.7500000002</v>
      </c>
      <c r="Q63" s="22"/>
      <c r="R63" s="31">
        <f t="shared" ref="R63:R74" si="16">IF(P$12=0,0,P63/P$12)</f>
        <v>0.60144698218419657</v>
      </c>
      <c r="S63" s="22"/>
      <c r="T63" s="22">
        <f>SUM(OSRRefT22x_0)</f>
        <v>2137947.4912662189</v>
      </c>
      <c r="U63" s="22"/>
      <c r="V63" s="31">
        <f t="shared" ref="V63:V74" si="17">IF(T$12=0,0,T63/T$12)</f>
        <v>0.49787199700855389</v>
      </c>
      <c r="W63" s="4"/>
      <c r="X63" s="22">
        <f t="shared" ref="X63:X74" si="18">+P63-T63</f>
        <v>-338007.74126621871</v>
      </c>
      <c r="Y63" s="4"/>
      <c r="Z63" s="31">
        <f t="shared" ref="Z63:Z74" si="19">IF(T63=0,0,X63/T63)</f>
        <v>-0.15809917813558205</v>
      </c>
    </row>
    <row r="64" spans="1:26" s="28" customFormat="1" outlineLevel="1" collapsed="1" x14ac:dyDescent="0.3">
      <c r="A64" s="29"/>
      <c r="B64" s="14" t="str">
        <f>CONCATENATE("     ","*Benefits                                         ")</f>
        <v xml:space="preserve">     *Benefits                                         </v>
      </c>
      <c r="C64" s="14"/>
      <c r="D64" s="1">
        <f>SUM(OSRRefD22_0x_0)</f>
        <v>161129.25999999998</v>
      </c>
      <c r="E64" s="1"/>
      <c r="F64" s="5">
        <f t="shared" si="12"/>
        <v>6.4748689663823411E-2</v>
      </c>
      <c r="G64" s="1"/>
      <c r="H64" s="1">
        <f>SUM(OSRRefH22_0x_0)</f>
        <v>196246.2452656297</v>
      </c>
      <c r="I64" s="1"/>
      <c r="J64" s="5">
        <f t="shared" si="13"/>
        <v>5.3977523814687199E-2</v>
      </c>
      <c r="K64" s="1"/>
      <c r="L64" s="1">
        <f t="shared" si="14"/>
        <v>-35116.985265629715</v>
      </c>
      <c r="M64" s="1"/>
      <c r="N64" s="5">
        <f t="shared" si="15"/>
        <v>-0.17894347592789361</v>
      </c>
      <c r="O64" s="14"/>
      <c r="P64" s="1">
        <f>SUM(OSRRefP22_0x_0)</f>
        <v>307651.62999999995</v>
      </c>
      <c r="Q64" s="1"/>
      <c r="R64" s="5">
        <f t="shared" si="16"/>
        <v>0.10280129900322996</v>
      </c>
      <c r="S64" s="1"/>
      <c r="T64" s="1">
        <f>SUM(OSRRefT22_0x_0)</f>
        <v>408860.75922785886</v>
      </c>
      <c r="U64" s="1"/>
      <c r="V64" s="5">
        <f t="shared" si="17"/>
        <v>9.5212966420726811E-2</v>
      </c>
      <c r="W64" s="1"/>
      <c r="X64" s="1">
        <f t="shared" si="18"/>
        <v>-101209.12922785891</v>
      </c>
      <c r="Y64" s="1"/>
      <c r="Z64" s="5">
        <f t="shared" si="19"/>
        <v>-0.2475393564767483</v>
      </c>
    </row>
    <row r="65" spans="1:26" s="24" customFormat="1" hidden="1" outlineLevel="2" x14ac:dyDescent="0.3">
      <c r="A65" s="27"/>
      <c r="B65" s="11" t="str">
        <f>CONCATENATE("          ", "6111", " - ", "F.I.C.A.")</f>
        <v xml:space="preserve">          6111 - F.I.C.A.</v>
      </c>
      <c r="C65" s="11"/>
      <c r="D65" s="6">
        <v>27964.45</v>
      </c>
      <c r="E65" s="2"/>
      <c r="F65" s="7">
        <f t="shared" si="12"/>
        <v>1.1237322722573832E-2</v>
      </c>
      <c r="G65" s="2"/>
      <c r="H65" s="6">
        <v>31772.130967504399</v>
      </c>
      <c r="I65" s="2"/>
      <c r="J65" s="7">
        <f t="shared" si="13"/>
        <v>8.738923660019644E-3</v>
      </c>
      <c r="K65" s="2"/>
      <c r="L65" s="6">
        <f t="shared" si="14"/>
        <v>-3807.6809675043987</v>
      </c>
      <c r="M65" s="2"/>
      <c r="N65" s="7">
        <f t="shared" si="15"/>
        <v>-0.11984342414422196</v>
      </c>
      <c r="O65" s="11"/>
      <c r="P65" s="6">
        <v>49262.51</v>
      </c>
      <c r="Q65" s="2"/>
      <c r="R65" s="7">
        <f t="shared" si="16"/>
        <v>1.6460988749383863E-2</v>
      </c>
      <c r="S65" s="2"/>
      <c r="T65" s="6">
        <v>64578.175843134901</v>
      </c>
      <c r="U65" s="2"/>
      <c r="V65" s="7">
        <f t="shared" si="17"/>
        <v>1.5038566429500572E-2</v>
      </c>
      <c r="W65" s="2"/>
      <c r="X65" s="6">
        <f t="shared" si="18"/>
        <v>-15315.665843134899</v>
      </c>
      <c r="Y65" s="2"/>
      <c r="Z65" s="7">
        <f t="shared" si="19"/>
        <v>-0.23716473318072298</v>
      </c>
    </row>
    <row r="66" spans="1:26" s="24" customFormat="1" hidden="1" outlineLevel="2" x14ac:dyDescent="0.3">
      <c r="A66" s="27"/>
      <c r="B66" s="11" t="str">
        <f>CONCATENATE("          ", "6112", " - ", "COMPENSATION INSURANCE")</f>
        <v xml:space="preserve">          6112 - COMPENSATION INSURANCE</v>
      </c>
      <c r="C66" s="11"/>
      <c r="D66" s="6">
        <v>8890.15</v>
      </c>
      <c r="E66" s="2"/>
      <c r="F66" s="7">
        <f t="shared" si="12"/>
        <v>3.5724458947731757E-3</v>
      </c>
      <c r="G66" s="2"/>
      <c r="H66" s="6">
        <v>14957.8007394338</v>
      </c>
      <c r="I66" s="2"/>
      <c r="J66" s="7">
        <f t="shared" si="13"/>
        <v>4.1141426402084551E-3</v>
      </c>
      <c r="K66" s="2"/>
      <c r="L66" s="6">
        <f t="shared" si="14"/>
        <v>-6067.6507394338005</v>
      </c>
      <c r="M66" s="2"/>
      <c r="N66" s="7">
        <f t="shared" si="15"/>
        <v>-0.40565126151449721</v>
      </c>
      <c r="O66" s="11"/>
      <c r="P66" s="6">
        <v>15418.5</v>
      </c>
      <c r="Q66" s="2"/>
      <c r="R66" s="7">
        <f t="shared" si="16"/>
        <v>5.1520670593596446E-3</v>
      </c>
      <c r="S66" s="2"/>
      <c r="T66" s="6">
        <v>27379.786419976201</v>
      </c>
      <c r="U66" s="2"/>
      <c r="V66" s="7">
        <f t="shared" si="17"/>
        <v>6.3760354256912916E-3</v>
      </c>
      <c r="W66" s="2"/>
      <c r="X66" s="6">
        <f t="shared" si="18"/>
        <v>-11961.286419976201</v>
      </c>
      <c r="Y66" s="2"/>
      <c r="Z66" s="7">
        <f t="shared" si="19"/>
        <v>-0.43686558530819242</v>
      </c>
    </row>
    <row r="67" spans="1:26" s="24" customFormat="1" hidden="1" outlineLevel="2" x14ac:dyDescent="0.3">
      <c r="A67" s="27"/>
      <c r="B67" s="11" t="str">
        <f>CONCATENATE("          ", "6113", " - ", "GROUP INSURANCE")</f>
        <v xml:space="preserve">          6113 - GROUP INSURANCE</v>
      </c>
      <c r="C67" s="11"/>
      <c r="D67" s="6">
        <v>73842.92</v>
      </c>
      <c r="E67" s="2"/>
      <c r="F67" s="7">
        <f t="shared" si="12"/>
        <v>2.9673271700934634E-2</v>
      </c>
      <c r="G67" s="2"/>
      <c r="H67" s="6">
        <v>96991.076923076893</v>
      </c>
      <c r="I67" s="2"/>
      <c r="J67" s="7">
        <f t="shared" si="13"/>
        <v>2.6677392769177487E-2</v>
      </c>
      <c r="K67" s="2"/>
      <c r="L67" s="6">
        <f t="shared" si="14"/>
        <v>-23148.156923076895</v>
      </c>
      <c r="M67" s="2"/>
      <c r="N67" s="7">
        <f t="shared" si="15"/>
        <v>-0.23866274772302584</v>
      </c>
      <c r="O67" s="11"/>
      <c r="P67" s="6">
        <v>146320.4</v>
      </c>
      <c r="Q67" s="2"/>
      <c r="R67" s="7">
        <f t="shared" si="16"/>
        <v>4.8892727110440501E-2</v>
      </c>
      <c r="S67" s="2"/>
      <c r="T67" s="6">
        <v>207900.81538461501</v>
      </c>
      <c r="U67" s="2"/>
      <c r="V67" s="7">
        <f t="shared" si="17"/>
        <v>4.8414656841708217E-2</v>
      </c>
      <c r="W67" s="2"/>
      <c r="X67" s="6">
        <f t="shared" si="18"/>
        <v>-61580.415384615015</v>
      </c>
      <c r="Y67" s="2"/>
      <c r="Z67" s="7">
        <f t="shared" si="19"/>
        <v>-0.29620093250087398</v>
      </c>
    </row>
    <row r="68" spans="1:26" s="24" customFormat="1" hidden="1" outlineLevel="2" x14ac:dyDescent="0.3">
      <c r="A68" s="27"/>
      <c r="B68" s="11" t="str">
        <f>CONCATENATE("          ", "6114", " - ", "STATE UNEMPLOYMENT INSURANCE")</f>
        <v xml:space="preserve">          6114 - STATE UNEMPLOYMENT INSURANCE</v>
      </c>
      <c r="C68" s="11"/>
      <c r="D68" s="6">
        <v>985.54</v>
      </c>
      <c r="E68" s="2"/>
      <c r="F68" s="7">
        <f t="shared" si="12"/>
        <v>3.9603249969176626E-4</v>
      </c>
      <c r="G68" s="2"/>
      <c r="H68" s="6">
        <v>1136.80069842231</v>
      </c>
      <c r="I68" s="2"/>
      <c r="J68" s="7">
        <f t="shared" si="13"/>
        <v>3.1267699765968508E-4</v>
      </c>
      <c r="K68" s="2"/>
      <c r="L68" s="6">
        <f t="shared" si="14"/>
        <v>-151.26069842231004</v>
      </c>
      <c r="M68" s="2"/>
      <c r="N68" s="7">
        <f t="shared" si="15"/>
        <v>-0.13305823846891957</v>
      </c>
      <c r="O68" s="11"/>
      <c r="P68" s="6">
        <v>1739.09</v>
      </c>
      <c r="Q68" s="2"/>
      <c r="R68" s="7">
        <f t="shared" si="16"/>
        <v>5.8111413576299664E-4</v>
      </c>
      <c r="S68" s="2"/>
      <c r="T68" s="6">
        <v>2118.8469714501898</v>
      </c>
      <c r="U68" s="2"/>
      <c r="V68" s="7">
        <f t="shared" si="17"/>
        <v>4.934239860150399E-4</v>
      </c>
      <c r="W68" s="2"/>
      <c r="X68" s="6">
        <f t="shared" si="18"/>
        <v>-379.75697145018989</v>
      </c>
      <c r="Y68" s="2"/>
      <c r="Z68" s="7">
        <f t="shared" si="19"/>
        <v>-0.17922812575288299</v>
      </c>
    </row>
    <row r="69" spans="1:26" s="24" customFormat="1" hidden="1" outlineLevel="2" x14ac:dyDescent="0.3">
      <c r="A69" s="27"/>
      <c r="B69" s="11" t="str">
        <f>CONCATENATE("          ", "6115", " - ", "P.E.R.S.")</f>
        <v xml:space="preserve">          6115 - P.E.R.S.</v>
      </c>
      <c r="C69" s="11"/>
      <c r="D69" s="6">
        <v>13870.61</v>
      </c>
      <c r="E69" s="2"/>
      <c r="F69" s="7">
        <f t="shared" si="12"/>
        <v>5.5738096379138449E-3</v>
      </c>
      <c r="G69" s="2"/>
      <c r="H69" s="6">
        <v>12234.3539727231</v>
      </c>
      <c r="I69" s="2"/>
      <c r="J69" s="7">
        <f t="shared" si="13"/>
        <v>3.3650586895362742E-3</v>
      </c>
      <c r="K69" s="2"/>
      <c r="L69" s="6">
        <f t="shared" si="14"/>
        <v>1636.2560272769006</v>
      </c>
      <c r="M69" s="2"/>
      <c r="N69" s="7">
        <f t="shared" si="15"/>
        <v>0.13374274039520093</v>
      </c>
      <c r="O69" s="11"/>
      <c r="P69" s="6">
        <v>27413.88</v>
      </c>
      <c r="Q69" s="2"/>
      <c r="R69" s="7">
        <f t="shared" si="16"/>
        <v>9.1603040579328835E-3</v>
      </c>
      <c r="S69" s="2"/>
      <c r="T69" s="6">
        <v>27527.296438626901</v>
      </c>
      <c r="U69" s="2"/>
      <c r="V69" s="7">
        <f t="shared" si="17"/>
        <v>6.4103866470680611E-3</v>
      </c>
      <c r="W69" s="2"/>
      <c r="X69" s="6">
        <f t="shared" si="18"/>
        <v>-113.41643862690034</v>
      </c>
      <c r="Y69" s="2"/>
      <c r="Z69" s="7">
        <f t="shared" si="19"/>
        <v>-4.1201444856659416E-3</v>
      </c>
    </row>
    <row r="70" spans="1:26" s="24" customFormat="1" hidden="1" outlineLevel="2" x14ac:dyDescent="0.3">
      <c r="A70" s="27"/>
      <c r="B70" s="11" t="str">
        <f>CONCATENATE("          ", "6116", " - ", "EDUCATIONAL BENEFITS")</f>
        <v xml:space="preserve">          6116 - EDUCATIONAL BENEFITS</v>
      </c>
      <c r="C70" s="11"/>
      <c r="D70" s="6"/>
      <c r="E70" s="2"/>
      <c r="F70" s="7">
        <f t="shared" si="12"/>
        <v>0</v>
      </c>
      <c r="G70" s="2"/>
      <c r="H70" s="6">
        <v>0</v>
      </c>
      <c r="I70" s="2"/>
      <c r="J70" s="7">
        <f t="shared" si="13"/>
        <v>0</v>
      </c>
      <c r="K70" s="2"/>
      <c r="L70" s="6">
        <f t="shared" si="14"/>
        <v>0</v>
      </c>
      <c r="M70" s="2"/>
      <c r="N70" s="7">
        <f t="shared" si="15"/>
        <v>0</v>
      </c>
      <c r="O70" s="11"/>
      <c r="P70" s="6"/>
      <c r="Q70" s="2"/>
      <c r="R70" s="7">
        <f t="shared" si="16"/>
        <v>0</v>
      </c>
      <c r="S70" s="2"/>
      <c r="T70" s="6">
        <v>0</v>
      </c>
      <c r="U70" s="2"/>
      <c r="V70" s="7">
        <f t="shared" si="17"/>
        <v>0</v>
      </c>
      <c r="W70" s="2"/>
      <c r="X70" s="6">
        <f t="shared" si="18"/>
        <v>0</v>
      </c>
      <c r="Y70" s="2"/>
      <c r="Z70" s="7">
        <f t="shared" si="19"/>
        <v>0</v>
      </c>
    </row>
    <row r="71" spans="1:26" s="24" customFormat="1" hidden="1" outlineLevel="2" x14ac:dyDescent="0.3">
      <c r="A71" s="27"/>
      <c r="B71" s="11" t="str">
        <f>CONCATENATE("          ", "6117", " - ", "RETIREMENT STAFF HOURLY")</f>
        <v xml:space="preserve">          6117 - RETIREMENT STAFF HOURLY</v>
      </c>
      <c r="C71" s="11"/>
      <c r="D71" s="6">
        <v>3324.27</v>
      </c>
      <c r="E71" s="2"/>
      <c r="F71" s="7">
        <f t="shared" si="12"/>
        <v>1.3358351337848771E-3</v>
      </c>
      <c r="G71" s="2"/>
      <c r="H71" s="6"/>
      <c r="I71" s="2"/>
      <c r="J71" s="7">
        <f t="shared" si="13"/>
        <v>0</v>
      </c>
      <c r="K71" s="2"/>
      <c r="L71" s="6">
        <f t="shared" si="14"/>
        <v>3324.27</v>
      </c>
      <c r="M71" s="2"/>
      <c r="N71" s="7">
        <f t="shared" si="15"/>
        <v>0</v>
      </c>
      <c r="O71" s="11"/>
      <c r="P71" s="6">
        <v>5424</v>
      </c>
      <c r="Q71" s="2"/>
      <c r="R71" s="7">
        <f t="shared" si="16"/>
        <v>1.8124209054036847E-3</v>
      </c>
      <c r="S71" s="2"/>
      <c r="T71" s="6"/>
      <c r="U71" s="2"/>
      <c r="V71" s="7">
        <f t="shared" si="17"/>
        <v>0</v>
      </c>
      <c r="W71" s="2"/>
      <c r="X71" s="6">
        <f t="shared" si="18"/>
        <v>5424</v>
      </c>
      <c r="Y71" s="2"/>
      <c r="Z71" s="7">
        <f t="shared" si="19"/>
        <v>0</v>
      </c>
    </row>
    <row r="72" spans="1:26" s="24" customFormat="1" hidden="1" outlineLevel="2" x14ac:dyDescent="0.3">
      <c r="A72" s="27"/>
      <c r="B72" s="11" t="str">
        <f>CONCATENATE("          ", "6118", " - ", "VACATION")</f>
        <v xml:space="preserve">          6118 - VACATION</v>
      </c>
      <c r="C72" s="11"/>
      <c r="D72" s="6">
        <v>15723.59</v>
      </c>
      <c r="E72" s="2"/>
      <c r="F72" s="7">
        <f t="shared" si="12"/>
        <v>6.318416961085759E-3</v>
      </c>
      <c r="G72" s="2"/>
      <c r="H72" s="6">
        <v>13140.914715746099</v>
      </c>
      <c r="I72" s="2"/>
      <c r="J72" s="7">
        <f t="shared" si="13"/>
        <v>3.614408194438902E-3</v>
      </c>
      <c r="K72" s="2"/>
      <c r="L72" s="6">
        <f t="shared" si="14"/>
        <v>2582.6752842539008</v>
      </c>
      <c r="M72" s="2"/>
      <c r="N72" s="7">
        <f t="shared" si="15"/>
        <v>0.19653694892024606</v>
      </c>
      <c r="O72" s="11"/>
      <c r="P72" s="6">
        <v>30590.92</v>
      </c>
      <c r="Q72" s="2"/>
      <c r="R72" s="7">
        <f t="shared" si="16"/>
        <v>1.0221906881182095E-2</v>
      </c>
      <c r="S72" s="2"/>
      <c r="T72" s="6">
        <v>29515.218110428799</v>
      </c>
      <c r="U72" s="2"/>
      <c r="V72" s="7">
        <f t="shared" si="17"/>
        <v>6.8733215585566575E-3</v>
      </c>
      <c r="W72" s="2"/>
      <c r="X72" s="6">
        <f t="shared" si="18"/>
        <v>1075.701889571199</v>
      </c>
      <c r="Y72" s="2"/>
      <c r="Z72" s="7">
        <f t="shared" si="19"/>
        <v>3.6445669672727728E-2</v>
      </c>
    </row>
    <row r="73" spans="1:26" s="24" customFormat="1" hidden="1" outlineLevel="2" x14ac:dyDescent="0.3">
      <c r="A73" s="27"/>
      <c r="B73" s="11" t="str">
        <f>CONCATENATE("          ", "6119", " - ", "SICK LEAVE")</f>
        <v xml:space="preserve">          6119 - SICK LEAVE</v>
      </c>
      <c r="C73" s="11"/>
      <c r="D73" s="6">
        <v>10642.12</v>
      </c>
      <c r="E73" s="2"/>
      <c r="F73" s="7">
        <f t="shared" si="12"/>
        <v>4.2764630411954259E-3</v>
      </c>
      <c r="G73" s="2"/>
      <c r="H73" s="6">
        <v>17052.167248723101</v>
      </c>
      <c r="I73" s="2"/>
      <c r="J73" s="7">
        <f t="shared" si="13"/>
        <v>4.6901980851359699E-3</v>
      </c>
      <c r="K73" s="2"/>
      <c r="L73" s="6">
        <f t="shared" si="14"/>
        <v>-6410.0472487231</v>
      </c>
      <c r="M73" s="2"/>
      <c r="N73" s="7">
        <f t="shared" si="15"/>
        <v>-0.37590806817843619</v>
      </c>
      <c r="O73" s="11"/>
      <c r="P73" s="6">
        <v>20723.849999999999</v>
      </c>
      <c r="Q73" s="2"/>
      <c r="R73" s="7">
        <f t="shared" si="16"/>
        <v>6.9248412574576231E-3</v>
      </c>
      <c r="S73" s="2"/>
      <c r="T73" s="6">
        <v>32254.620059626901</v>
      </c>
      <c r="U73" s="2"/>
      <c r="V73" s="7">
        <f t="shared" si="17"/>
        <v>7.5112565521091032E-3</v>
      </c>
      <c r="W73" s="2"/>
      <c r="X73" s="6">
        <f t="shared" si="18"/>
        <v>-11530.770059626902</v>
      </c>
      <c r="Y73" s="2"/>
      <c r="Z73" s="7">
        <f t="shared" si="19"/>
        <v>-0.35749204418811198</v>
      </c>
    </row>
    <row r="74" spans="1:26" s="24" customFormat="1" hidden="1" outlineLevel="2" x14ac:dyDescent="0.3">
      <c r="A74" s="27"/>
      <c r="B74" s="11" t="str">
        <f>CONCATENATE("          ", "6156", " - ", "EMPLOYEE MEALS")</f>
        <v xml:space="preserve">          6156 - EMPLOYEE MEALS</v>
      </c>
      <c r="C74" s="11"/>
      <c r="D74" s="6">
        <v>5885.61</v>
      </c>
      <c r="E74" s="2"/>
      <c r="F74" s="7">
        <f t="shared" si="12"/>
        <v>2.365092071870098E-3</v>
      </c>
      <c r="G74" s="2"/>
      <c r="H74" s="6">
        <v>8961</v>
      </c>
      <c r="I74" s="2"/>
      <c r="J74" s="7">
        <f t="shared" si="13"/>
        <v>2.4647227785107861E-3</v>
      </c>
      <c r="K74" s="2"/>
      <c r="L74" s="6">
        <f t="shared" si="14"/>
        <v>-3075.3900000000003</v>
      </c>
      <c r="M74" s="2"/>
      <c r="N74" s="7">
        <f t="shared" si="15"/>
        <v>-0.34319718781386011</v>
      </c>
      <c r="O74" s="11"/>
      <c r="P74" s="6">
        <v>10758.48</v>
      </c>
      <c r="Q74" s="2"/>
      <c r="R74" s="7">
        <f t="shared" si="16"/>
        <v>3.59492884630668E-3</v>
      </c>
      <c r="S74" s="2"/>
      <c r="T74" s="6">
        <v>17586</v>
      </c>
      <c r="U74" s="2"/>
      <c r="V74" s="7">
        <f t="shared" si="17"/>
        <v>4.0953189800778779E-3</v>
      </c>
      <c r="W74" s="2"/>
      <c r="X74" s="6">
        <f t="shared" si="18"/>
        <v>-6827.52</v>
      </c>
      <c r="Y74" s="2"/>
      <c r="Z74" s="7">
        <f t="shared" si="19"/>
        <v>-0.38823609689525762</v>
      </c>
    </row>
    <row r="75" spans="1:26" s="28" customFormat="1" outlineLevel="1" collapsed="1" x14ac:dyDescent="0.3">
      <c r="A75" s="29"/>
      <c r="B75" s="14" t="str">
        <f>CONCATENATE("     ","*Payroll                                          ")</f>
        <v xml:space="preserve">     *Payroll                                          </v>
      </c>
      <c r="C75" s="14"/>
      <c r="D75" s="1">
        <f>SUM(OSRRefD22_1x_0)</f>
        <v>417207.10000000003</v>
      </c>
      <c r="E75" s="1"/>
      <c r="F75" s="5">
        <f t="shared" ref="F75:F85" si="20">IF(D$12=0,0,D75/D$12)</f>
        <v>0.16765181596094803</v>
      </c>
      <c r="G75" s="1"/>
      <c r="H75" s="1">
        <f>SUM(OSRRefH22_1x_0)</f>
        <v>517368.85618371511</v>
      </c>
      <c r="I75" s="1"/>
      <c r="J75" s="5">
        <f t="shared" ref="J75:J85" si="21">IF(H$12=0,0,H75/H$12)</f>
        <v>0.14230228821873378</v>
      </c>
      <c r="K75" s="1"/>
      <c r="L75" s="1">
        <f t="shared" ref="L75:L85" si="22">+D75-H75</f>
        <v>-100161.75618371507</v>
      </c>
      <c r="M75" s="1"/>
      <c r="N75" s="5">
        <f t="shared" ref="N75:N85" si="23">IF(H75=0,0,L75/H75)</f>
        <v>-0.19359834861831754</v>
      </c>
      <c r="O75" s="14"/>
      <c r="P75" s="1">
        <f>SUM(OSRRefP22_1x_0)</f>
        <v>765759.66</v>
      </c>
      <c r="Q75" s="1"/>
      <c r="R75" s="5">
        <f t="shared" ref="R75:R85" si="24">IF(P$12=0,0,P75/P$12)</f>
        <v>0.25587736288695018</v>
      </c>
      <c r="S75" s="1"/>
      <c r="T75" s="1">
        <f>SUM(OSRRefT22_1x_0)</f>
        <v>957835.48203835986</v>
      </c>
      <c r="U75" s="1"/>
      <c r="V75" s="5">
        <f t="shared" ref="V75:V85" si="25">IF(T$12=0,0,T75/T$12)</f>
        <v>0.22305480662934937</v>
      </c>
      <c r="W75" s="1"/>
      <c r="X75" s="1">
        <f t="shared" ref="X75:X85" si="26">+P75-T75</f>
        <v>-192075.82203835982</v>
      </c>
      <c r="Y75" s="1"/>
      <c r="Z75" s="5">
        <f t="shared" ref="Z75:Z85" si="27">IF(T75=0,0,X75/T75)</f>
        <v>-0.20053112005164522</v>
      </c>
    </row>
    <row r="76" spans="1:26" s="24" customFormat="1" hidden="1" outlineLevel="2" x14ac:dyDescent="0.3">
      <c r="A76" s="27"/>
      <c r="B76" s="11" t="str">
        <f>CONCATENATE("          ", "6001", " - ", "ADMINISTRATIVE SALARIES")</f>
        <v xml:space="preserve">          6001 - ADMINISTRATIVE SALARIES</v>
      </c>
      <c r="C76" s="11"/>
      <c r="D76" s="6">
        <v>26773.16</v>
      </c>
      <c r="E76" s="2"/>
      <c r="F76" s="7">
        <f t="shared" si="20"/>
        <v>1.0758610994427023E-2</v>
      </c>
      <c r="G76" s="2"/>
      <c r="H76" s="6">
        <v>18547.9230769231</v>
      </c>
      <c r="I76" s="2"/>
      <c r="J76" s="7">
        <f t="shared" si="21"/>
        <v>5.1016056803658326E-3</v>
      </c>
      <c r="K76" s="2"/>
      <c r="L76" s="6">
        <f t="shared" si="22"/>
        <v>8225.2369230769</v>
      </c>
      <c r="M76" s="2"/>
      <c r="N76" s="7">
        <f t="shared" si="23"/>
        <v>0.44345864973478089</v>
      </c>
      <c r="O76" s="11"/>
      <c r="P76" s="6">
        <v>63007.18</v>
      </c>
      <c r="Q76" s="2"/>
      <c r="R76" s="7">
        <f t="shared" si="24"/>
        <v>2.1053748197369642E-2</v>
      </c>
      <c r="S76" s="2"/>
      <c r="T76" s="6">
        <v>41732.8269230769</v>
      </c>
      <c r="U76" s="2"/>
      <c r="V76" s="7">
        <f t="shared" si="25"/>
        <v>9.7184827812112975E-3</v>
      </c>
      <c r="W76" s="2"/>
      <c r="X76" s="6">
        <f t="shared" si="26"/>
        <v>21274.3530769231</v>
      </c>
      <c r="Y76" s="2"/>
      <c r="Z76" s="7">
        <f t="shared" si="27"/>
        <v>0.50977502952619469</v>
      </c>
    </row>
    <row r="77" spans="1:26" s="24" customFormat="1" hidden="1" outlineLevel="2" x14ac:dyDescent="0.3">
      <c r="A77" s="27"/>
      <c r="B77" s="11" t="str">
        <f>CONCATENATE("          ", "6002", " - ", "STAFF SALARIES")</f>
        <v xml:space="preserve">          6002 - STAFF SALARIES</v>
      </c>
      <c r="C77" s="11"/>
      <c r="D77" s="6">
        <v>113584.46</v>
      </c>
      <c r="E77" s="2"/>
      <c r="F77" s="7">
        <f t="shared" si="20"/>
        <v>4.5643137386548939E-2</v>
      </c>
      <c r="G77" s="2"/>
      <c r="H77" s="6">
        <v>111995.292038792</v>
      </c>
      <c r="I77" s="2"/>
      <c r="J77" s="7">
        <f t="shared" si="21"/>
        <v>3.0804301682175909E-2</v>
      </c>
      <c r="K77" s="2"/>
      <c r="L77" s="6">
        <f t="shared" si="22"/>
        <v>1589.1679612080043</v>
      </c>
      <c r="M77" s="2"/>
      <c r="N77" s="7">
        <f t="shared" si="23"/>
        <v>1.4189596118536495E-2</v>
      </c>
      <c r="O77" s="11"/>
      <c r="P77" s="6">
        <v>251196.2</v>
      </c>
      <c r="Q77" s="2"/>
      <c r="R77" s="7">
        <f t="shared" si="24"/>
        <v>8.3936807565996516E-2</v>
      </c>
      <c r="S77" s="2"/>
      <c r="T77" s="6">
        <v>251989.40708728301</v>
      </c>
      <c r="U77" s="2"/>
      <c r="V77" s="7">
        <f t="shared" si="25"/>
        <v>5.8681735563693903E-2</v>
      </c>
      <c r="W77" s="2"/>
      <c r="X77" s="6">
        <f t="shared" si="26"/>
        <v>-793.2070872829936</v>
      </c>
      <c r="Y77" s="2"/>
      <c r="Z77" s="7">
        <f t="shared" si="27"/>
        <v>-3.1477794898269115E-3</v>
      </c>
    </row>
    <row r="78" spans="1:26" s="24" customFormat="1" hidden="1" outlineLevel="2" x14ac:dyDescent="0.3">
      <c r="A78" s="27"/>
      <c r="B78" s="11" t="str">
        <f>CONCATENATE("          ", "6003", " - ", "STAFF HOURLY-9 MONTH")</f>
        <v xml:space="preserve">          6003 - STAFF HOURLY-9 MONTH</v>
      </c>
      <c r="C78" s="11"/>
      <c r="D78" s="6"/>
      <c r="E78" s="2"/>
      <c r="F78" s="7">
        <f t="shared" si="20"/>
        <v>0</v>
      </c>
      <c r="G78" s="2"/>
      <c r="H78" s="6">
        <v>0</v>
      </c>
      <c r="I78" s="2"/>
      <c r="J78" s="7">
        <f t="shared" si="21"/>
        <v>0</v>
      </c>
      <c r="K78" s="2"/>
      <c r="L78" s="6">
        <f t="shared" si="22"/>
        <v>0</v>
      </c>
      <c r="M78" s="2"/>
      <c r="N78" s="7">
        <f t="shared" si="23"/>
        <v>0</v>
      </c>
      <c r="O78" s="11"/>
      <c r="P78" s="6"/>
      <c r="Q78" s="2"/>
      <c r="R78" s="7">
        <f t="shared" si="24"/>
        <v>0</v>
      </c>
      <c r="S78" s="2"/>
      <c r="T78" s="6">
        <v>0</v>
      </c>
      <c r="U78" s="2"/>
      <c r="V78" s="7">
        <f t="shared" si="25"/>
        <v>0</v>
      </c>
      <c r="W78" s="2"/>
      <c r="X78" s="6">
        <f t="shared" si="26"/>
        <v>0</v>
      </c>
      <c r="Y78" s="2"/>
      <c r="Z78" s="7">
        <f t="shared" si="27"/>
        <v>0</v>
      </c>
    </row>
    <row r="79" spans="1:26" s="24" customFormat="1" hidden="1" outlineLevel="2" x14ac:dyDescent="0.3">
      <c r="A79" s="27"/>
      <c r="B79" s="11" t="str">
        <f>CONCATENATE("          ", "6004", " - ", "STAFF HOURLY")</f>
        <v xml:space="preserve">          6004 - STAFF HOURLY</v>
      </c>
      <c r="C79" s="11"/>
      <c r="D79" s="6">
        <v>79931.350000000006</v>
      </c>
      <c r="E79" s="2"/>
      <c r="F79" s="7">
        <f t="shared" si="20"/>
        <v>3.2119865600825401E-2</v>
      </c>
      <c r="G79" s="2"/>
      <c r="H79" s="6">
        <v>147165.34856799999</v>
      </c>
      <c r="I79" s="2"/>
      <c r="J79" s="7">
        <f t="shared" si="21"/>
        <v>4.0477824664996012E-2</v>
      </c>
      <c r="K79" s="2"/>
      <c r="L79" s="6">
        <f t="shared" si="22"/>
        <v>-67233.998567999981</v>
      </c>
      <c r="M79" s="2"/>
      <c r="N79" s="7">
        <f t="shared" si="23"/>
        <v>-0.45686025428012689</v>
      </c>
      <c r="O79" s="11"/>
      <c r="P79" s="6">
        <v>144822.38</v>
      </c>
      <c r="Q79" s="2"/>
      <c r="R79" s="7">
        <f t="shared" si="24"/>
        <v>4.839216612874566E-2</v>
      </c>
      <c r="S79" s="2"/>
      <c r="T79" s="6">
        <v>319846.40302799997</v>
      </c>
      <c r="U79" s="2"/>
      <c r="V79" s="7">
        <f t="shared" si="25"/>
        <v>7.448385335097274E-2</v>
      </c>
      <c r="W79" s="2"/>
      <c r="X79" s="6">
        <f t="shared" si="26"/>
        <v>-175024.02302799997</v>
      </c>
      <c r="Y79" s="2"/>
      <c r="Z79" s="7">
        <f t="shared" si="27"/>
        <v>-0.54721272889436878</v>
      </c>
    </row>
    <row r="80" spans="1:26" s="24" customFormat="1" hidden="1" outlineLevel="2" x14ac:dyDescent="0.3">
      <c r="A80" s="27"/>
      <c r="B80" s="11" t="str">
        <f>CONCATENATE("          ", "6005", " - ", "TEMPORARY WAGES-HOURLY")</f>
        <v xml:space="preserve">          6005 - TEMPORARY WAGES-HOURLY</v>
      </c>
      <c r="C80" s="11"/>
      <c r="D80" s="6">
        <v>38119.279999999999</v>
      </c>
      <c r="E80" s="2"/>
      <c r="F80" s="7">
        <f t="shared" si="20"/>
        <v>1.5317971614394495E-2</v>
      </c>
      <c r="G80" s="2"/>
      <c r="H80" s="6">
        <v>29754.080000000002</v>
      </c>
      <c r="I80" s="2"/>
      <c r="J80" s="7">
        <f t="shared" si="21"/>
        <v>8.1838588025479539E-3</v>
      </c>
      <c r="K80" s="2"/>
      <c r="L80" s="6">
        <f t="shared" si="22"/>
        <v>8365.1999999999971</v>
      </c>
      <c r="M80" s="2"/>
      <c r="N80" s="7">
        <f t="shared" si="23"/>
        <v>0.28114463629861841</v>
      </c>
      <c r="O80" s="11"/>
      <c r="P80" s="6">
        <v>61725.99</v>
      </c>
      <c r="Q80" s="2"/>
      <c r="R80" s="7">
        <f t="shared" si="24"/>
        <v>2.0625640612599333E-2</v>
      </c>
      <c r="S80" s="2"/>
      <c r="T80" s="6">
        <v>34212.22</v>
      </c>
      <c r="U80" s="2"/>
      <c r="V80" s="7">
        <f t="shared" si="25"/>
        <v>7.9671303262026597E-3</v>
      </c>
      <c r="W80" s="2"/>
      <c r="X80" s="6">
        <f t="shared" si="26"/>
        <v>27513.769999999997</v>
      </c>
      <c r="Y80" s="2"/>
      <c r="Z80" s="7">
        <f t="shared" si="27"/>
        <v>0.80420884701431228</v>
      </c>
    </row>
    <row r="81" spans="1:26" s="24" customFormat="1" hidden="1" outlineLevel="2" x14ac:dyDescent="0.3">
      <c r="A81" s="27"/>
      <c r="B81" s="11" t="str">
        <f>CONCATENATE("          ", "6006", " - ", "TEMPORARY PART TIME")</f>
        <v xml:space="preserve">          6006 - TEMPORARY PART TIME</v>
      </c>
      <c r="C81" s="11"/>
      <c r="D81" s="6">
        <v>3273.79</v>
      </c>
      <c r="E81" s="2"/>
      <c r="F81" s="7">
        <f t="shared" si="20"/>
        <v>1.315550091488836E-3</v>
      </c>
      <c r="G81" s="2"/>
      <c r="H81" s="6">
        <v>0</v>
      </c>
      <c r="I81" s="2"/>
      <c r="J81" s="7">
        <f t="shared" si="21"/>
        <v>0</v>
      </c>
      <c r="K81" s="2"/>
      <c r="L81" s="6">
        <f t="shared" si="22"/>
        <v>3273.79</v>
      </c>
      <c r="M81" s="2"/>
      <c r="N81" s="7">
        <f t="shared" si="23"/>
        <v>0</v>
      </c>
      <c r="O81" s="11"/>
      <c r="P81" s="6">
        <v>6138.19</v>
      </c>
      <c r="Q81" s="2"/>
      <c r="R81" s="7">
        <f t="shared" si="24"/>
        <v>2.0510663490670802E-3</v>
      </c>
      <c r="S81" s="2"/>
      <c r="T81" s="6">
        <v>0</v>
      </c>
      <c r="U81" s="2"/>
      <c r="V81" s="7">
        <f t="shared" si="25"/>
        <v>0</v>
      </c>
      <c r="W81" s="2"/>
      <c r="X81" s="6">
        <f t="shared" si="26"/>
        <v>6138.19</v>
      </c>
      <c r="Y81" s="2"/>
      <c r="Z81" s="7">
        <f t="shared" si="27"/>
        <v>0</v>
      </c>
    </row>
    <row r="82" spans="1:26" s="24" customFormat="1" hidden="1" outlineLevel="2" x14ac:dyDescent="0.3">
      <c r="A82" s="27"/>
      <c r="B82" s="11" t="str">
        <f>CONCATENATE("          ", "6007", " - ", "STUDENT HOURLY")</f>
        <v xml:space="preserve">          6007 - STUDENT HOURLY</v>
      </c>
      <c r="C82" s="11"/>
      <c r="D82" s="6">
        <v>138458.75</v>
      </c>
      <c r="E82" s="2"/>
      <c r="F82" s="7">
        <f t="shared" si="20"/>
        <v>5.5638700475574142E-2</v>
      </c>
      <c r="G82" s="2"/>
      <c r="H82" s="6">
        <v>114029.5775</v>
      </c>
      <c r="I82" s="2"/>
      <c r="J82" s="7">
        <f t="shared" si="21"/>
        <v>3.1363831836648925E-2</v>
      </c>
      <c r="K82" s="2"/>
      <c r="L82" s="6">
        <f t="shared" si="22"/>
        <v>24429.172500000001</v>
      </c>
      <c r="M82" s="2"/>
      <c r="N82" s="7">
        <f t="shared" si="23"/>
        <v>0.21423540309092173</v>
      </c>
      <c r="O82" s="11"/>
      <c r="P82" s="6">
        <v>212019.06</v>
      </c>
      <c r="Q82" s="2"/>
      <c r="R82" s="7">
        <f t="shared" si="24"/>
        <v>7.0845829035405261E-2</v>
      </c>
      <c r="S82" s="2"/>
      <c r="T82" s="6">
        <v>179677.99</v>
      </c>
      <c r="U82" s="2"/>
      <c r="V82" s="7">
        <f t="shared" si="25"/>
        <v>4.1842299712796717E-2</v>
      </c>
      <c r="W82" s="2"/>
      <c r="X82" s="6">
        <f t="shared" si="26"/>
        <v>32341.070000000007</v>
      </c>
      <c r="Y82" s="2"/>
      <c r="Z82" s="7">
        <f t="shared" si="27"/>
        <v>0.17999461147133275</v>
      </c>
    </row>
    <row r="83" spans="1:26" s="24" customFormat="1" hidden="1" outlineLevel="2" x14ac:dyDescent="0.3">
      <c r="A83" s="27"/>
      <c r="B83" s="11" t="str">
        <f>CONCATENATE("          ", "6008", " - ", "STUDENT HOURLY-FICA EXEMPT")</f>
        <v xml:space="preserve">          6008 - STUDENT HOURLY-FICA EXEMPT</v>
      </c>
      <c r="C83" s="11"/>
      <c r="D83" s="6">
        <v>17066.310000000001</v>
      </c>
      <c r="E83" s="2"/>
      <c r="F83" s="7">
        <f t="shared" si="20"/>
        <v>6.8579797976891736E-3</v>
      </c>
      <c r="G83" s="2"/>
      <c r="H83" s="6">
        <v>95876.634999999995</v>
      </c>
      <c r="I83" s="2"/>
      <c r="J83" s="7">
        <f t="shared" si="21"/>
        <v>2.6370865551999158E-2</v>
      </c>
      <c r="K83" s="2"/>
      <c r="L83" s="6">
        <f t="shared" si="22"/>
        <v>-78810.324999999997</v>
      </c>
      <c r="M83" s="2"/>
      <c r="N83" s="7">
        <f t="shared" si="23"/>
        <v>-0.82199719462411258</v>
      </c>
      <c r="O83" s="11"/>
      <c r="P83" s="6">
        <v>26850.66</v>
      </c>
      <c r="Q83" s="2"/>
      <c r="R83" s="7">
        <f t="shared" si="24"/>
        <v>8.9721049977666851E-3</v>
      </c>
      <c r="S83" s="2"/>
      <c r="T83" s="6">
        <v>130376.63499999999</v>
      </c>
      <c r="U83" s="2"/>
      <c r="V83" s="7">
        <f t="shared" si="25"/>
        <v>3.0361304894472065E-2</v>
      </c>
      <c r="W83" s="2"/>
      <c r="X83" s="6">
        <f t="shared" si="26"/>
        <v>-103525.97499999999</v>
      </c>
      <c r="Y83" s="2"/>
      <c r="Z83" s="7">
        <f t="shared" si="27"/>
        <v>-0.79405312922825466</v>
      </c>
    </row>
    <row r="84" spans="1:26" s="24" customFormat="1" hidden="1" outlineLevel="2" x14ac:dyDescent="0.3">
      <c r="A84" s="27"/>
      <c r="B84" s="11" t="str">
        <f>CONCATENATE("          ", "6009", " - ", "TEMPORARY-SEASONAL")</f>
        <v xml:space="preserve">          6009 - TEMPORARY-SEASONAL</v>
      </c>
      <c r="C84" s="11"/>
      <c r="D84" s="6"/>
      <c r="E84" s="2"/>
      <c r="F84" s="7">
        <f t="shared" si="20"/>
        <v>0</v>
      </c>
      <c r="G84" s="2"/>
      <c r="H84" s="6">
        <v>0</v>
      </c>
      <c r="I84" s="2"/>
      <c r="J84" s="7">
        <f t="shared" si="21"/>
        <v>0</v>
      </c>
      <c r="K84" s="2"/>
      <c r="L84" s="6">
        <f t="shared" si="22"/>
        <v>0</v>
      </c>
      <c r="M84" s="2"/>
      <c r="N84" s="7">
        <f t="shared" si="23"/>
        <v>0</v>
      </c>
      <c r="O84" s="11"/>
      <c r="P84" s="6"/>
      <c r="Q84" s="2"/>
      <c r="R84" s="7">
        <f t="shared" si="24"/>
        <v>0</v>
      </c>
      <c r="S84" s="2"/>
      <c r="T84" s="6">
        <v>0</v>
      </c>
      <c r="U84" s="2"/>
      <c r="V84" s="7">
        <f t="shared" si="25"/>
        <v>0</v>
      </c>
      <c r="W84" s="2"/>
      <c r="X84" s="6">
        <f t="shared" si="26"/>
        <v>0</v>
      </c>
      <c r="Y84" s="2"/>
      <c r="Z84" s="7">
        <f t="shared" si="27"/>
        <v>0</v>
      </c>
    </row>
    <row r="85" spans="1:26" s="24" customFormat="1" hidden="1" outlineLevel="2" x14ac:dyDescent="0.3">
      <c r="A85" s="27"/>
      <c r="B85" s="11" t="str">
        <f>CONCATENATE("          ", "6010", " - ", "GRATUITY")</f>
        <v xml:space="preserve">          6010 - GRATUITY</v>
      </c>
      <c r="C85" s="11"/>
      <c r="D85" s="6"/>
      <c r="E85" s="2"/>
      <c r="F85" s="7">
        <f t="shared" si="20"/>
        <v>0</v>
      </c>
      <c r="G85" s="2"/>
      <c r="H85" s="6">
        <v>0</v>
      </c>
      <c r="I85" s="2"/>
      <c r="J85" s="7">
        <f t="shared" si="21"/>
        <v>0</v>
      </c>
      <c r="K85" s="2"/>
      <c r="L85" s="6">
        <f t="shared" si="22"/>
        <v>0</v>
      </c>
      <c r="M85" s="2"/>
      <c r="N85" s="7">
        <f t="shared" si="23"/>
        <v>0</v>
      </c>
      <c r="O85" s="11"/>
      <c r="P85" s="6"/>
      <c r="Q85" s="2"/>
      <c r="R85" s="7">
        <f t="shared" si="24"/>
        <v>0</v>
      </c>
      <c r="S85" s="2"/>
      <c r="T85" s="6">
        <v>0</v>
      </c>
      <c r="U85" s="2"/>
      <c r="V85" s="7">
        <f t="shared" si="25"/>
        <v>0</v>
      </c>
      <c r="W85" s="2"/>
      <c r="X85" s="6">
        <f t="shared" si="26"/>
        <v>0</v>
      </c>
      <c r="Y85" s="2"/>
      <c r="Z85" s="7">
        <f t="shared" si="27"/>
        <v>0</v>
      </c>
    </row>
    <row r="86" spans="1:26" s="28" customFormat="1" outlineLevel="1" collapsed="1" x14ac:dyDescent="0.3">
      <c r="A86" s="29"/>
      <c r="B86" s="14" t="str">
        <f>CONCATENATE("     ","Advertising/Promo                                 ")</f>
        <v xml:space="preserve">     Advertising/Promo                                 </v>
      </c>
      <c r="C86" s="14"/>
      <c r="D86" s="1">
        <f>SUM(OSRRefD22_2x_0)</f>
        <v>3706.47</v>
      </c>
      <c r="E86" s="1"/>
      <c r="F86" s="5">
        <f t="shared" ref="F86:F94" si="28">IF(D$12=0,0,D86/D$12)</f>
        <v>1.4894195863511788E-3</v>
      </c>
      <c r="G86" s="1"/>
      <c r="H86" s="1">
        <f>SUM(OSRRefH22_2x_0)</f>
        <v>2588</v>
      </c>
      <c r="I86" s="1"/>
      <c r="J86" s="5">
        <f t="shared" ref="J86:J94" si="29">IF(H$12=0,0,H86/H$12)</f>
        <v>7.1182932159200019E-4</v>
      </c>
      <c r="K86" s="1"/>
      <c r="L86" s="1">
        <f t="shared" ref="L86:L94" si="30">+D86-H86</f>
        <v>1118.4699999999998</v>
      </c>
      <c r="M86" s="1"/>
      <c r="N86" s="5">
        <f t="shared" ref="N86:N94" si="31">IF(H86=0,0,L86/H86)</f>
        <v>0.43217542503863982</v>
      </c>
      <c r="O86" s="14"/>
      <c r="P86" s="1">
        <f>SUM(OSRRefP22_2x_0)</f>
        <v>4791.25</v>
      </c>
      <c r="Q86" s="1"/>
      <c r="R86" s="5">
        <f t="shared" ref="R86:R94" si="32">IF(P$12=0,0,P86/P$12)</f>
        <v>1.6009885071931055E-3</v>
      </c>
      <c r="S86" s="1"/>
      <c r="T86" s="1">
        <f>SUM(OSRRefT22_2x_0)</f>
        <v>6838</v>
      </c>
      <c r="U86" s="1"/>
      <c r="V86" s="5">
        <f t="shared" ref="V86:V94" si="33">IF(T$12=0,0,T86/T$12)</f>
        <v>1.5923911739891123E-3</v>
      </c>
      <c r="W86" s="1"/>
      <c r="X86" s="1">
        <f t="shared" ref="X86:X94" si="34">+P86-T86</f>
        <v>-2046.75</v>
      </c>
      <c r="Y86" s="1"/>
      <c r="Z86" s="5">
        <f t="shared" ref="Z86:Z94" si="35">IF(T86=0,0,X86/T86)</f>
        <v>-0.29931997660134541</v>
      </c>
    </row>
    <row r="87" spans="1:26" s="24" customFormat="1" hidden="1" outlineLevel="2" x14ac:dyDescent="0.3">
      <c r="A87" s="27"/>
      <c r="B87" s="11" t="str">
        <f>CONCATENATE("          ", "6362", " - ", "ADVERTISING EXPENSE")</f>
        <v xml:space="preserve">          6362 - ADVERTISING EXPENSE</v>
      </c>
      <c r="C87" s="11"/>
      <c r="D87" s="6">
        <v>3706.47</v>
      </c>
      <c r="E87" s="2"/>
      <c r="F87" s="7">
        <f t="shared" si="28"/>
        <v>1.4894195863511788E-3</v>
      </c>
      <c r="G87" s="2"/>
      <c r="H87" s="6">
        <v>2588</v>
      </c>
      <c r="I87" s="2"/>
      <c r="J87" s="7">
        <f t="shared" si="29"/>
        <v>7.1182932159200019E-4</v>
      </c>
      <c r="K87" s="2"/>
      <c r="L87" s="6">
        <f t="shared" si="30"/>
        <v>1118.4699999999998</v>
      </c>
      <c r="M87" s="2"/>
      <c r="N87" s="7">
        <f t="shared" si="31"/>
        <v>0.43217542503863982</v>
      </c>
      <c r="O87" s="11"/>
      <c r="P87" s="6">
        <v>4791.25</v>
      </c>
      <c r="Q87" s="2"/>
      <c r="R87" s="7">
        <f t="shared" si="32"/>
        <v>1.6009885071931055E-3</v>
      </c>
      <c r="S87" s="2"/>
      <c r="T87" s="6">
        <v>6838</v>
      </c>
      <c r="U87" s="2"/>
      <c r="V87" s="7">
        <f t="shared" si="33"/>
        <v>1.5923911739891123E-3</v>
      </c>
      <c r="W87" s="2"/>
      <c r="X87" s="6">
        <f t="shared" si="34"/>
        <v>-2046.75</v>
      </c>
      <c r="Y87" s="2"/>
      <c r="Z87" s="7">
        <f t="shared" si="35"/>
        <v>-0.29931997660134541</v>
      </c>
    </row>
    <row r="88" spans="1:26" s="28" customFormat="1" outlineLevel="1" collapsed="1" x14ac:dyDescent="0.3">
      <c r="A88" s="29"/>
      <c r="B88" s="14" t="str">
        <f>CONCATENATE("     ","Bad Debts/Over/Short                              ")</f>
        <v xml:space="preserve">     Bad Debts/Over/Short                              </v>
      </c>
      <c r="C88" s="14"/>
      <c r="D88" s="1">
        <f>SUM(OSRRefD22_3x_0)</f>
        <v>61.24</v>
      </c>
      <c r="E88" s="1"/>
      <c r="F88" s="5">
        <f t="shared" si="28"/>
        <v>2.4608874607954794E-5</v>
      </c>
      <c r="G88" s="1"/>
      <c r="H88" s="1">
        <f>SUM(OSRRefH22_3x_0)</f>
        <v>278</v>
      </c>
      <c r="I88" s="1"/>
      <c r="J88" s="5">
        <f t="shared" si="29"/>
        <v>7.6463891577502341E-5</v>
      </c>
      <c r="K88" s="1"/>
      <c r="L88" s="1">
        <f t="shared" si="30"/>
        <v>-216.76</v>
      </c>
      <c r="M88" s="1"/>
      <c r="N88" s="5">
        <f t="shared" si="31"/>
        <v>-0.77971223021582725</v>
      </c>
      <c r="O88" s="14"/>
      <c r="P88" s="1">
        <f>SUM(OSRRefP22_3x_0)</f>
        <v>43.49</v>
      </c>
      <c r="Q88" s="1"/>
      <c r="R88" s="5">
        <f t="shared" si="32"/>
        <v>1.4532113786136845E-5</v>
      </c>
      <c r="S88" s="1"/>
      <c r="T88" s="1">
        <f>SUM(OSRRefT22_3x_0)</f>
        <v>538</v>
      </c>
      <c r="U88" s="1"/>
      <c r="V88" s="5">
        <f t="shared" si="33"/>
        <v>1.2528611459580906E-4</v>
      </c>
      <c r="W88" s="1"/>
      <c r="X88" s="1">
        <f t="shared" si="34"/>
        <v>-494.51</v>
      </c>
      <c r="Y88" s="1"/>
      <c r="Z88" s="5">
        <f t="shared" si="35"/>
        <v>-0.91916356877323413</v>
      </c>
    </row>
    <row r="89" spans="1:26" s="24" customFormat="1" hidden="1" outlineLevel="2" x14ac:dyDescent="0.3">
      <c r="A89" s="27"/>
      <c r="B89" s="11" t="str">
        <f>CONCATENATE("          ", "6272", " - ", "CASH (OVER/SHORT)")</f>
        <v xml:space="preserve">          6272 - CASH (OVER/SHORT)</v>
      </c>
      <c r="C89" s="11"/>
      <c r="D89" s="6">
        <v>61.24</v>
      </c>
      <c r="E89" s="2"/>
      <c r="F89" s="7">
        <f t="shared" si="28"/>
        <v>2.4608874607954794E-5</v>
      </c>
      <c r="G89" s="2"/>
      <c r="H89" s="6">
        <v>278</v>
      </c>
      <c r="I89" s="2"/>
      <c r="J89" s="7">
        <f t="shared" si="29"/>
        <v>7.6463891577502341E-5</v>
      </c>
      <c r="K89" s="2"/>
      <c r="L89" s="6">
        <f t="shared" si="30"/>
        <v>-216.76</v>
      </c>
      <c r="M89" s="2"/>
      <c r="N89" s="7">
        <f t="shared" si="31"/>
        <v>-0.77971223021582725</v>
      </c>
      <c r="O89" s="11"/>
      <c r="P89" s="6">
        <v>43.49</v>
      </c>
      <c r="Q89" s="2"/>
      <c r="R89" s="7">
        <f t="shared" si="32"/>
        <v>1.4532113786136845E-5</v>
      </c>
      <c r="S89" s="2"/>
      <c r="T89" s="6">
        <v>538</v>
      </c>
      <c r="U89" s="2"/>
      <c r="V89" s="7">
        <f t="shared" si="33"/>
        <v>1.2528611459580906E-4</v>
      </c>
      <c r="W89" s="2"/>
      <c r="X89" s="6">
        <f t="shared" si="34"/>
        <v>-494.51</v>
      </c>
      <c r="Y89" s="2"/>
      <c r="Z89" s="7">
        <f t="shared" si="35"/>
        <v>-0.91916356877323413</v>
      </c>
    </row>
    <row r="90" spans="1:26" s="28" customFormat="1" outlineLevel="1" collapsed="1" x14ac:dyDescent="0.3">
      <c r="A90" s="29"/>
      <c r="B90" s="14" t="str">
        <f>CONCATENATE("     ","Bank/card Fees                                    ")</f>
        <v xml:space="preserve">     Bank/card Fees                                    </v>
      </c>
      <c r="C90" s="14"/>
      <c r="D90" s="1">
        <f>SUM(OSRRefD22_4x_0)</f>
        <v>26352.66</v>
      </c>
      <c r="E90" s="1"/>
      <c r="F90" s="5">
        <f t="shared" si="28"/>
        <v>1.0589635949151958E-2</v>
      </c>
      <c r="G90" s="1"/>
      <c r="H90" s="1">
        <f>SUM(OSRRefH22_4x_0)</f>
        <v>53395.25</v>
      </c>
      <c r="I90" s="1"/>
      <c r="J90" s="5">
        <f t="shared" si="29"/>
        <v>1.4686361894797237E-2</v>
      </c>
      <c r="K90" s="1"/>
      <c r="L90" s="1">
        <f t="shared" si="30"/>
        <v>-27042.59</v>
      </c>
      <c r="M90" s="1"/>
      <c r="N90" s="5">
        <f t="shared" si="31"/>
        <v>-0.50646059340484406</v>
      </c>
      <c r="O90" s="14"/>
      <c r="P90" s="1">
        <f>SUM(OSRRefP22_4x_0)</f>
        <v>31444.42</v>
      </c>
      <c r="Q90" s="1"/>
      <c r="R90" s="5">
        <f t="shared" si="32"/>
        <v>1.0507102538033504E-2</v>
      </c>
      <c r="S90" s="1"/>
      <c r="T90" s="1">
        <f>SUM(OSRRefT22_4x_0)</f>
        <v>67377.25</v>
      </c>
      <c r="U90" s="1"/>
      <c r="V90" s="5">
        <f t="shared" si="33"/>
        <v>1.5690397517937688E-2</v>
      </c>
      <c r="W90" s="1"/>
      <c r="X90" s="1">
        <f t="shared" si="34"/>
        <v>-35932.83</v>
      </c>
      <c r="Y90" s="1"/>
      <c r="Z90" s="5">
        <f t="shared" si="35"/>
        <v>-0.53330805279230009</v>
      </c>
    </row>
    <row r="91" spans="1:26" s="24" customFormat="1" hidden="1" outlineLevel="2" x14ac:dyDescent="0.3">
      <c r="A91" s="27"/>
      <c r="B91" s="11" t="str">
        <f>CONCATENATE("          ", "6381", " - ", "BANK/CREDIT CARD FEES")</f>
        <v xml:space="preserve">          6381 - BANK/CREDIT CARD FEES</v>
      </c>
      <c r="C91" s="11"/>
      <c r="D91" s="6">
        <v>26352.66</v>
      </c>
      <c r="E91" s="2"/>
      <c r="F91" s="7">
        <f t="shared" si="28"/>
        <v>1.0589635949151958E-2</v>
      </c>
      <c r="G91" s="2"/>
      <c r="H91" s="6">
        <v>53395.25</v>
      </c>
      <c r="I91" s="2"/>
      <c r="J91" s="7">
        <f t="shared" si="29"/>
        <v>1.4686361894797237E-2</v>
      </c>
      <c r="K91" s="2"/>
      <c r="L91" s="6">
        <f t="shared" si="30"/>
        <v>-27042.59</v>
      </c>
      <c r="M91" s="2"/>
      <c r="N91" s="7">
        <f t="shared" si="31"/>
        <v>-0.50646059340484406</v>
      </c>
      <c r="O91" s="11"/>
      <c r="P91" s="6">
        <v>31444.42</v>
      </c>
      <c r="Q91" s="2"/>
      <c r="R91" s="7">
        <f t="shared" si="32"/>
        <v>1.0507102538033504E-2</v>
      </c>
      <c r="S91" s="2"/>
      <c r="T91" s="6">
        <v>67377.25</v>
      </c>
      <c r="U91" s="2"/>
      <c r="V91" s="7">
        <f t="shared" si="33"/>
        <v>1.5690397517937688E-2</v>
      </c>
      <c r="W91" s="2"/>
      <c r="X91" s="6">
        <f t="shared" si="34"/>
        <v>-35932.83</v>
      </c>
      <c r="Y91" s="2"/>
      <c r="Z91" s="7">
        <f t="shared" si="35"/>
        <v>-0.53330805279230009</v>
      </c>
    </row>
    <row r="92" spans="1:26" s="28" customFormat="1" outlineLevel="1" collapsed="1" x14ac:dyDescent="0.3">
      <c r="A92" s="29"/>
      <c r="B92" s="14" t="str">
        <f>CONCATENATE("     ","Depreciation                                      ")</f>
        <v xml:space="preserve">     Depreciation                                      </v>
      </c>
      <c r="C92" s="14"/>
      <c r="D92" s="1">
        <f>SUM(OSRRefD22_5x_0)</f>
        <v>71722.81</v>
      </c>
      <c r="E92" s="1"/>
      <c r="F92" s="5">
        <f t="shared" si="28"/>
        <v>2.8821320016658492E-2</v>
      </c>
      <c r="G92" s="1"/>
      <c r="H92" s="1">
        <f>SUM(OSRRefH22_5x_0)</f>
        <v>71047</v>
      </c>
      <c r="I92" s="1"/>
      <c r="J92" s="5">
        <f t="shared" si="29"/>
        <v>1.9541475197506507E-2</v>
      </c>
      <c r="K92" s="1"/>
      <c r="L92" s="1">
        <f t="shared" si="30"/>
        <v>675.80999999999767</v>
      </c>
      <c r="M92" s="1"/>
      <c r="N92" s="5">
        <f t="shared" si="31"/>
        <v>9.512153926274124E-3</v>
      </c>
      <c r="O92" s="14"/>
      <c r="P92" s="1">
        <f>SUM(OSRRefP22_5x_0)</f>
        <v>143445.62</v>
      </c>
      <c r="Q92" s="1"/>
      <c r="R92" s="5">
        <f t="shared" si="32"/>
        <v>4.7932123981672729E-2</v>
      </c>
      <c r="S92" s="1"/>
      <c r="T92" s="1">
        <f>SUM(OSRRefT22_5x_0)</f>
        <v>142094</v>
      </c>
      <c r="U92" s="1"/>
      <c r="V92" s="5">
        <f t="shared" si="33"/>
        <v>3.3089972430068573E-2</v>
      </c>
      <c r="W92" s="1"/>
      <c r="X92" s="1">
        <f t="shared" si="34"/>
        <v>1351.6199999999953</v>
      </c>
      <c r="Y92" s="1"/>
      <c r="Z92" s="5">
        <f t="shared" si="35"/>
        <v>9.512153926274124E-3</v>
      </c>
    </row>
    <row r="93" spans="1:26" s="24" customFormat="1" hidden="1" outlineLevel="2" x14ac:dyDescent="0.3">
      <c r="A93" s="27"/>
      <c r="B93" s="11" t="str">
        <f>CONCATENATE("          ", "6321", " - ", "BUILDING DEPRECIATION")</f>
        <v xml:space="preserve">          6321 - BUILDING DEPRECIATION</v>
      </c>
      <c r="C93" s="11"/>
      <c r="D93" s="6">
        <v>45060.5</v>
      </c>
      <c r="E93" s="2"/>
      <c r="F93" s="7">
        <f t="shared" si="28"/>
        <v>1.8107253335593515E-2</v>
      </c>
      <c r="G93" s="2"/>
      <c r="H93" s="6"/>
      <c r="I93" s="2"/>
      <c r="J93" s="7">
        <f t="shared" si="29"/>
        <v>0</v>
      </c>
      <c r="K93" s="2"/>
      <c r="L93" s="6">
        <f t="shared" si="30"/>
        <v>45060.5</v>
      </c>
      <c r="M93" s="2"/>
      <c r="N93" s="7">
        <f t="shared" si="31"/>
        <v>0</v>
      </c>
      <c r="O93" s="11"/>
      <c r="P93" s="6">
        <v>90121</v>
      </c>
      <c r="Q93" s="2"/>
      <c r="R93" s="7">
        <f t="shared" si="32"/>
        <v>3.0113787687294516E-2</v>
      </c>
      <c r="S93" s="2"/>
      <c r="T93" s="6"/>
      <c r="U93" s="2"/>
      <c r="V93" s="7">
        <f t="shared" si="33"/>
        <v>0</v>
      </c>
      <c r="W93" s="2"/>
      <c r="X93" s="6">
        <f t="shared" si="34"/>
        <v>90121</v>
      </c>
      <c r="Y93" s="2"/>
      <c r="Z93" s="7">
        <f t="shared" si="35"/>
        <v>0</v>
      </c>
    </row>
    <row r="94" spans="1:26" s="24" customFormat="1" hidden="1" outlineLevel="2" x14ac:dyDescent="0.3">
      <c r="A94" s="27"/>
      <c r="B94" s="11" t="str">
        <f>CONCATENATE("          ", "6322", " - ", "EQUIPMENT DEPRECIATION EXPENSE")</f>
        <v xml:space="preserve">          6322 - EQUIPMENT DEPRECIATION EXPENSE</v>
      </c>
      <c r="C94" s="11"/>
      <c r="D94" s="6">
        <v>26662.31</v>
      </c>
      <c r="E94" s="2"/>
      <c r="F94" s="7">
        <f t="shared" si="28"/>
        <v>1.0714066681064977E-2</v>
      </c>
      <c r="G94" s="2"/>
      <c r="H94" s="6">
        <v>71047</v>
      </c>
      <c r="I94" s="2"/>
      <c r="J94" s="7">
        <f t="shared" si="29"/>
        <v>1.9541475197506507E-2</v>
      </c>
      <c r="K94" s="2"/>
      <c r="L94" s="6">
        <f t="shared" si="30"/>
        <v>-44384.69</v>
      </c>
      <c r="M94" s="2"/>
      <c r="N94" s="7">
        <f t="shared" si="31"/>
        <v>-0.62472292989148037</v>
      </c>
      <c r="O94" s="11"/>
      <c r="P94" s="6">
        <v>53324.62</v>
      </c>
      <c r="Q94" s="2"/>
      <c r="R94" s="7">
        <f t="shared" si="32"/>
        <v>1.7818336294378213E-2</v>
      </c>
      <c r="S94" s="2"/>
      <c r="T94" s="6">
        <v>142094</v>
      </c>
      <c r="U94" s="2"/>
      <c r="V94" s="7">
        <f t="shared" si="33"/>
        <v>3.3089972430068573E-2</v>
      </c>
      <c r="W94" s="2"/>
      <c r="X94" s="6">
        <f t="shared" si="34"/>
        <v>-88769.38</v>
      </c>
      <c r="Y94" s="2"/>
      <c r="Z94" s="7">
        <f t="shared" si="35"/>
        <v>-0.62472292989148037</v>
      </c>
    </row>
    <row r="95" spans="1:26" s="28" customFormat="1" outlineLevel="1" collapsed="1" x14ac:dyDescent="0.3">
      <c r="A95" s="29"/>
      <c r="B95" s="14" t="str">
        <f>CONCATENATE("     ","Discounts and Markdowns                           ")</f>
        <v xml:space="preserve">     Discounts and Markdowns                           </v>
      </c>
      <c r="C95" s="14"/>
      <c r="D95" s="1">
        <f>SUM(OSRRefD22_6x_0)</f>
        <v>-157.30000000000001</v>
      </c>
      <c r="E95" s="1"/>
      <c r="F95" s="5">
        <f t="shared" ref="F95:F97" si="36">IF(D$12=0,0,D95/D$12)</f>
        <v>-6.3209927756879307E-5</v>
      </c>
      <c r="G95" s="1"/>
      <c r="H95" s="1">
        <f>SUM(OSRRefH22_6x_0)</f>
        <v>0</v>
      </c>
      <c r="I95" s="1"/>
      <c r="J95" s="5">
        <f t="shared" ref="J95:J97" si="37">IF(H$12=0,0,H95/H$12)</f>
        <v>0</v>
      </c>
      <c r="K95" s="1"/>
      <c r="L95" s="1">
        <f t="shared" ref="L95:L97" si="38">+D95-H95</f>
        <v>-157.30000000000001</v>
      </c>
      <c r="M95" s="1"/>
      <c r="N95" s="5">
        <f t="shared" ref="N95:N97" si="39">IF(H95=0,0,L95/H95)</f>
        <v>0</v>
      </c>
      <c r="O95" s="14"/>
      <c r="P95" s="1">
        <f>SUM(OSRRefP22_6x_0)</f>
        <v>-157.97999999999999</v>
      </c>
      <c r="Q95" s="1"/>
      <c r="R95" s="5">
        <f t="shared" ref="R95:R97" si="40">IF(P$12=0,0,P95/P$12)</f>
        <v>-5.2788763760264394E-5</v>
      </c>
      <c r="S95" s="1"/>
      <c r="T95" s="1">
        <f>SUM(OSRRefT22_6x_0)</f>
        <v>0</v>
      </c>
      <c r="U95" s="1"/>
      <c r="V95" s="5">
        <f t="shared" ref="V95:V97" si="41">IF(T$12=0,0,T95/T$12)</f>
        <v>0</v>
      </c>
      <c r="W95" s="1"/>
      <c r="X95" s="1">
        <f t="shared" ref="X95:X97" si="42">+P95-T95</f>
        <v>-157.97999999999999</v>
      </c>
      <c r="Y95" s="1"/>
      <c r="Z95" s="5">
        <f t="shared" ref="Z95:Z97" si="43">IF(T95=0,0,X95/T95)</f>
        <v>0</v>
      </c>
    </row>
    <row r="96" spans="1:26" s="24" customFormat="1" hidden="1" outlineLevel="2" x14ac:dyDescent="0.3">
      <c r="A96" s="27"/>
      <c r="B96" s="11" t="str">
        <f>CONCATENATE("          ", "6382", " - ", "DISCOUNTS/MARK DOWNS")</f>
        <v xml:space="preserve">          6382 - DISCOUNTS/MARK DOWNS</v>
      </c>
      <c r="C96" s="11"/>
      <c r="D96" s="6"/>
      <c r="E96" s="2"/>
      <c r="F96" s="7">
        <f t="shared" si="36"/>
        <v>0</v>
      </c>
      <c r="G96" s="2"/>
      <c r="H96" s="6">
        <v>0</v>
      </c>
      <c r="I96" s="2"/>
      <c r="J96" s="7">
        <f t="shared" si="37"/>
        <v>0</v>
      </c>
      <c r="K96" s="2"/>
      <c r="L96" s="6">
        <f t="shared" si="38"/>
        <v>0</v>
      </c>
      <c r="M96" s="2"/>
      <c r="N96" s="7">
        <f t="shared" si="39"/>
        <v>0</v>
      </c>
      <c r="O96" s="11"/>
      <c r="P96" s="6"/>
      <c r="Q96" s="2"/>
      <c r="R96" s="7">
        <f t="shared" si="40"/>
        <v>0</v>
      </c>
      <c r="S96" s="2"/>
      <c r="T96" s="6">
        <v>0</v>
      </c>
      <c r="U96" s="2"/>
      <c r="V96" s="7">
        <f t="shared" si="41"/>
        <v>0</v>
      </c>
      <c r="W96" s="2"/>
      <c r="X96" s="6">
        <f t="shared" si="42"/>
        <v>0</v>
      </c>
      <c r="Y96" s="2"/>
      <c r="Z96" s="7">
        <f t="shared" si="43"/>
        <v>0</v>
      </c>
    </row>
    <row r="97" spans="1:26" s="24" customFormat="1" hidden="1" outlineLevel="2" x14ac:dyDescent="0.3">
      <c r="A97" s="27"/>
      <c r="B97" s="11" t="str">
        <f>CONCATENATE("          ", "9175", " - ", "EARNED DISCOUNTS")</f>
        <v xml:space="preserve">          9175 - EARNED DISCOUNTS</v>
      </c>
      <c r="C97" s="11"/>
      <c r="D97" s="6">
        <v>-157.30000000000001</v>
      </c>
      <c r="E97" s="2"/>
      <c r="F97" s="7">
        <f t="shared" si="36"/>
        <v>-6.3209927756879307E-5</v>
      </c>
      <c r="G97" s="2"/>
      <c r="H97" s="6"/>
      <c r="I97" s="2"/>
      <c r="J97" s="7">
        <f t="shared" si="37"/>
        <v>0</v>
      </c>
      <c r="K97" s="2"/>
      <c r="L97" s="6">
        <f t="shared" si="38"/>
        <v>-157.30000000000001</v>
      </c>
      <c r="M97" s="2"/>
      <c r="N97" s="7">
        <f t="shared" si="39"/>
        <v>0</v>
      </c>
      <c r="O97" s="11"/>
      <c r="P97" s="6">
        <v>-157.97999999999999</v>
      </c>
      <c r="Q97" s="2"/>
      <c r="R97" s="7">
        <f t="shared" si="40"/>
        <v>-5.2788763760264394E-5</v>
      </c>
      <c r="S97" s="2"/>
      <c r="T97" s="6"/>
      <c r="U97" s="2"/>
      <c r="V97" s="7">
        <f t="shared" si="41"/>
        <v>0</v>
      </c>
      <c r="W97" s="2"/>
      <c r="X97" s="6">
        <f t="shared" si="42"/>
        <v>-157.97999999999999</v>
      </c>
      <c r="Y97" s="2"/>
      <c r="Z97" s="7">
        <f t="shared" si="43"/>
        <v>0</v>
      </c>
    </row>
    <row r="98" spans="1:26" s="28" customFormat="1" outlineLevel="1" collapsed="1" x14ac:dyDescent="0.3">
      <c r="A98" s="29"/>
      <c r="B98" s="14" t="str">
        <f>CONCATENATE("     ","Donations                                         ")</f>
        <v xml:space="preserve">     Donations                                         </v>
      </c>
      <c r="C98" s="14"/>
      <c r="D98" s="1">
        <f>SUM(OSRRefD22_7x_0)</f>
        <v>4261.5600000000004</v>
      </c>
      <c r="E98" s="1"/>
      <c r="F98" s="5">
        <f t="shared" ref="F98:F106" si="44">IF(D$12=0,0,D98/D$12)</f>
        <v>1.7124787014088151E-3</v>
      </c>
      <c r="G98" s="1"/>
      <c r="H98" s="1">
        <f>SUM(OSRRefH22_7x_0)</f>
        <v>16750</v>
      </c>
      <c r="I98" s="1"/>
      <c r="J98" s="5">
        <f t="shared" ref="J98:J106" si="45">IF(H$12=0,0,H98/H$12)</f>
        <v>4.6070869925293675E-3</v>
      </c>
      <c r="K98" s="1"/>
      <c r="L98" s="1">
        <f t="shared" ref="L98:L106" si="46">+D98-H98</f>
        <v>-12488.439999999999</v>
      </c>
      <c r="M98" s="1"/>
      <c r="N98" s="5">
        <f t="shared" ref="N98:N106" si="47">IF(H98=0,0,L98/H98)</f>
        <v>-0.7455785074626865</v>
      </c>
      <c r="O98" s="14"/>
      <c r="P98" s="1">
        <f>SUM(OSRRefP22_7x_0)</f>
        <v>4261.5600000000004</v>
      </c>
      <c r="Q98" s="1"/>
      <c r="R98" s="5">
        <f t="shared" ref="R98:R106" si="48">IF(P$12=0,0,P98/P$12)</f>
        <v>1.4239934427787845E-3</v>
      </c>
      <c r="S98" s="1"/>
      <c r="T98" s="1">
        <f>SUM(OSRRefT22_7x_0)</f>
        <v>18000</v>
      </c>
      <c r="U98" s="1"/>
      <c r="V98" s="5">
        <f t="shared" ref="V98:V106" si="49">IF(T$12=0,0,T98/T$12)</f>
        <v>4.1917287411237236E-3</v>
      </c>
      <c r="W98" s="1"/>
      <c r="X98" s="1">
        <f t="shared" ref="X98:X106" si="50">+P98-T98</f>
        <v>-13738.439999999999</v>
      </c>
      <c r="Y98" s="1"/>
      <c r="Z98" s="5">
        <f t="shared" ref="Z98:Z106" si="51">IF(T98=0,0,X98/T98)</f>
        <v>-0.76324666666666663</v>
      </c>
    </row>
    <row r="99" spans="1:26" s="24" customFormat="1" hidden="1" outlineLevel="2" x14ac:dyDescent="0.3">
      <c r="A99" s="27"/>
      <c r="B99" s="11" t="str">
        <f>CONCATENATE("          ", "6399", " - ", "DONATION-ON CAMPUS")</f>
        <v xml:space="preserve">          6399 - DONATION-ON CAMPUS</v>
      </c>
      <c r="C99" s="11"/>
      <c r="D99" s="6">
        <v>4261.5600000000004</v>
      </c>
      <c r="E99" s="2"/>
      <c r="F99" s="7">
        <f t="shared" si="44"/>
        <v>1.7124787014088151E-3</v>
      </c>
      <c r="G99" s="2"/>
      <c r="H99" s="6">
        <v>16750</v>
      </c>
      <c r="I99" s="2"/>
      <c r="J99" s="7">
        <f t="shared" si="45"/>
        <v>4.6070869925293675E-3</v>
      </c>
      <c r="K99" s="2"/>
      <c r="L99" s="6">
        <f t="shared" si="46"/>
        <v>-12488.439999999999</v>
      </c>
      <c r="M99" s="2"/>
      <c r="N99" s="7">
        <f t="shared" si="47"/>
        <v>-0.7455785074626865</v>
      </c>
      <c r="O99" s="11"/>
      <c r="P99" s="6">
        <v>4261.5600000000004</v>
      </c>
      <c r="Q99" s="2"/>
      <c r="R99" s="7">
        <f t="shared" si="48"/>
        <v>1.4239934427787845E-3</v>
      </c>
      <c r="S99" s="2"/>
      <c r="T99" s="6">
        <v>18000</v>
      </c>
      <c r="U99" s="2"/>
      <c r="V99" s="7">
        <f t="shared" si="49"/>
        <v>4.1917287411237236E-3</v>
      </c>
      <c r="W99" s="2"/>
      <c r="X99" s="6">
        <f t="shared" si="50"/>
        <v>-13738.439999999999</v>
      </c>
      <c r="Y99" s="2"/>
      <c r="Z99" s="7">
        <f t="shared" si="51"/>
        <v>-0.76324666666666663</v>
      </c>
    </row>
    <row r="100" spans="1:26" s="28" customFormat="1" outlineLevel="1" collapsed="1" x14ac:dyDescent="0.3">
      <c r="A100" s="29"/>
      <c r="B100" s="14" t="str">
        <f>CONCATENATE("     ","Employees' Appreciation                           ")</f>
        <v xml:space="preserve">     Employees' Appreciation                           </v>
      </c>
      <c r="C100" s="14"/>
      <c r="D100" s="1">
        <f>SUM(OSRRefD22_8x_0)</f>
        <v>418</v>
      </c>
      <c r="E100" s="1"/>
      <c r="F100" s="5">
        <f t="shared" si="44"/>
        <v>1.6797043739590306E-4</v>
      </c>
      <c r="G100" s="1"/>
      <c r="H100" s="1">
        <f>SUM(OSRRefH22_8x_0)</f>
        <v>505</v>
      </c>
      <c r="I100" s="1"/>
      <c r="J100" s="5">
        <f t="shared" si="45"/>
        <v>1.3890023470013914E-4</v>
      </c>
      <c r="K100" s="1"/>
      <c r="L100" s="1">
        <f t="shared" si="46"/>
        <v>-87</v>
      </c>
      <c r="M100" s="1"/>
      <c r="N100" s="5">
        <f t="shared" si="47"/>
        <v>-0.17227722772277226</v>
      </c>
      <c r="O100" s="14"/>
      <c r="P100" s="1">
        <f>SUM(OSRRefP22_8x_0)</f>
        <v>955.36</v>
      </c>
      <c r="Q100" s="1"/>
      <c r="R100" s="5">
        <f t="shared" si="48"/>
        <v>3.1923201257125076E-4</v>
      </c>
      <c r="S100" s="1"/>
      <c r="T100" s="1">
        <f>SUM(OSRRefT22_8x_0)</f>
        <v>970</v>
      </c>
      <c r="U100" s="1"/>
      <c r="V100" s="5">
        <f t="shared" si="49"/>
        <v>2.2588760438277842E-4</v>
      </c>
      <c r="W100" s="1"/>
      <c r="X100" s="1">
        <f t="shared" si="50"/>
        <v>-14.639999999999986</v>
      </c>
      <c r="Y100" s="1"/>
      <c r="Z100" s="5">
        <f t="shared" si="51"/>
        <v>-1.5092783505154625E-2</v>
      </c>
    </row>
    <row r="101" spans="1:26" s="24" customFormat="1" hidden="1" outlineLevel="2" x14ac:dyDescent="0.3">
      <c r="A101" s="27"/>
      <c r="B101" s="11" t="str">
        <f>CONCATENATE("          ", "6277", " - ", "EMPLOYEE APPRECIATION")</f>
        <v xml:space="preserve">          6277 - EMPLOYEE APPRECIATION</v>
      </c>
      <c r="C101" s="11"/>
      <c r="D101" s="6">
        <v>418</v>
      </c>
      <c r="E101" s="2"/>
      <c r="F101" s="7">
        <f t="shared" si="44"/>
        <v>1.6797043739590306E-4</v>
      </c>
      <c r="G101" s="2"/>
      <c r="H101" s="6">
        <v>505</v>
      </c>
      <c r="I101" s="2"/>
      <c r="J101" s="7">
        <f t="shared" si="45"/>
        <v>1.3890023470013914E-4</v>
      </c>
      <c r="K101" s="2"/>
      <c r="L101" s="6">
        <f t="shared" si="46"/>
        <v>-87</v>
      </c>
      <c r="M101" s="2"/>
      <c r="N101" s="7">
        <f t="shared" si="47"/>
        <v>-0.17227722772277226</v>
      </c>
      <c r="O101" s="11"/>
      <c r="P101" s="6">
        <v>955.36</v>
      </c>
      <c r="Q101" s="2"/>
      <c r="R101" s="7">
        <f t="shared" si="48"/>
        <v>3.1923201257125076E-4</v>
      </c>
      <c r="S101" s="2"/>
      <c r="T101" s="6">
        <v>970</v>
      </c>
      <c r="U101" s="2"/>
      <c r="V101" s="7">
        <f t="shared" si="49"/>
        <v>2.2588760438277842E-4</v>
      </c>
      <c r="W101" s="2"/>
      <c r="X101" s="6">
        <f t="shared" si="50"/>
        <v>-14.639999999999986</v>
      </c>
      <c r="Y101" s="2"/>
      <c r="Z101" s="7">
        <f t="shared" si="51"/>
        <v>-1.5092783505154625E-2</v>
      </c>
    </row>
    <row r="102" spans="1:26" s="28" customFormat="1" outlineLevel="1" collapsed="1" x14ac:dyDescent="0.3">
      <c r="A102" s="29"/>
      <c r="B102" s="14" t="str">
        <f>CONCATENATE("     ","Equipment Rental                                  ")</f>
        <v xml:space="preserve">     Equipment Rental                                  </v>
      </c>
      <c r="C102" s="14"/>
      <c r="D102" s="1">
        <f>SUM(OSRRefD22_9x_0)</f>
        <v>7575.85</v>
      </c>
      <c r="E102" s="1"/>
      <c r="F102" s="5">
        <f t="shared" si="44"/>
        <v>3.044303440540077E-3</v>
      </c>
      <c r="G102" s="1"/>
      <c r="H102" s="1">
        <f>SUM(OSRRefH22_9x_0)</f>
        <v>3346</v>
      </c>
      <c r="I102" s="1"/>
      <c r="J102" s="5">
        <f t="shared" si="45"/>
        <v>9.2031719862706058E-4</v>
      </c>
      <c r="K102" s="1"/>
      <c r="L102" s="1">
        <f t="shared" si="46"/>
        <v>4229.8500000000004</v>
      </c>
      <c r="M102" s="1"/>
      <c r="N102" s="5">
        <f t="shared" si="47"/>
        <v>1.2641512253436942</v>
      </c>
      <c r="O102" s="14"/>
      <c r="P102" s="1">
        <f>SUM(OSRRefP22_9x_0)</f>
        <v>10289.469999999999</v>
      </c>
      <c r="Q102" s="1"/>
      <c r="R102" s="5">
        <f t="shared" si="48"/>
        <v>3.4382099066231657E-3</v>
      </c>
      <c r="S102" s="1"/>
      <c r="T102" s="1">
        <f>SUM(OSRRefT22_9x_0)</f>
        <v>6692</v>
      </c>
      <c r="U102" s="1"/>
      <c r="V102" s="5">
        <f t="shared" si="49"/>
        <v>1.5583915964222199E-3</v>
      </c>
      <c r="W102" s="1"/>
      <c r="X102" s="1">
        <f t="shared" si="50"/>
        <v>3597.4699999999993</v>
      </c>
      <c r="Y102" s="1"/>
      <c r="Z102" s="5">
        <f t="shared" si="51"/>
        <v>0.53757770472205613</v>
      </c>
    </row>
    <row r="103" spans="1:26" s="24" customFormat="1" hidden="1" outlineLevel="2" x14ac:dyDescent="0.3">
      <c r="A103" s="27"/>
      <c r="B103" s="11" t="str">
        <f>CONCATENATE("          ", "6351", " - ", "EQUIPMENT RENTAL")</f>
        <v xml:space="preserve">          6351 - EQUIPMENT RENTAL</v>
      </c>
      <c r="C103" s="11"/>
      <c r="D103" s="6">
        <v>7575.85</v>
      </c>
      <c r="E103" s="2"/>
      <c r="F103" s="7">
        <f t="shared" si="44"/>
        <v>3.044303440540077E-3</v>
      </c>
      <c r="G103" s="2"/>
      <c r="H103" s="6">
        <v>3346</v>
      </c>
      <c r="I103" s="2"/>
      <c r="J103" s="7">
        <f t="shared" si="45"/>
        <v>9.2031719862706058E-4</v>
      </c>
      <c r="K103" s="2"/>
      <c r="L103" s="6">
        <f t="shared" si="46"/>
        <v>4229.8500000000004</v>
      </c>
      <c r="M103" s="2"/>
      <c r="N103" s="7">
        <f t="shared" si="47"/>
        <v>1.2641512253436942</v>
      </c>
      <c r="O103" s="11"/>
      <c r="P103" s="6">
        <v>10289.469999999999</v>
      </c>
      <c r="Q103" s="2"/>
      <c r="R103" s="7">
        <f t="shared" si="48"/>
        <v>3.4382099066231657E-3</v>
      </c>
      <c r="S103" s="2"/>
      <c r="T103" s="6">
        <v>6692</v>
      </c>
      <c r="U103" s="2"/>
      <c r="V103" s="7">
        <f t="shared" si="49"/>
        <v>1.5583915964222199E-3</v>
      </c>
      <c r="W103" s="2"/>
      <c r="X103" s="6">
        <f t="shared" si="50"/>
        <v>3597.4699999999993</v>
      </c>
      <c r="Y103" s="2"/>
      <c r="Z103" s="7">
        <f t="shared" si="51"/>
        <v>0.53757770472205613</v>
      </c>
    </row>
    <row r="104" spans="1:26" s="28" customFormat="1" outlineLevel="1" collapsed="1" x14ac:dyDescent="0.3">
      <c r="A104" s="29"/>
      <c r="B104" s="14" t="str">
        <f>CONCATENATE("     ","Freight out/Postage                               ")</f>
        <v xml:space="preserve">     Freight out/Postage                               </v>
      </c>
      <c r="C104" s="14"/>
      <c r="D104" s="1">
        <f>SUM(OSRRefD22_10x_0)</f>
        <v>-19372.54</v>
      </c>
      <c r="E104" s="1"/>
      <c r="F104" s="5">
        <f t="shared" si="44"/>
        <v>-7.7847225293531767E-3</v>
      </c>
      <c r="G104" s="1"/>
      <c r="H104" s="1">
        <f>SUM(OSRRefH22_10x_0)</f>
        <v>-42525</v>
      </c>
      <c r="I104" s="1"/>
      <c r="J104" s="5">
        <f t="shared" si="45"/>
        <v>-1.169649996163053E-2</v>
      </c>
      <c r="K104" s="1"/>
      <c r="L104" s="1">
        <f t="shared" si="46"/>
        <v>23152.46</v>
      </c>
      <c r="M104" s="1"/>
      <c r="N104" s="5">
        <f t="shared" si="47"/>
        <v>-0.54444350382128159</v>
      </c>
      <c r="O104" s="14"/>
      <c r="P104" s="1">
        <f>SUM(OSRRefP22_10x_0)</f>
        <v>-15689.740000000002</v>
      </c>
      <c r="Q104" s="1"/>
      <c r="R104" s="5">
        <f t="shared" si="48"/>
        <v>-5.2427014705657094E-3</v>
      </c>
      <c r="S104" s="1"/>
      <c r="T104" s="1">
        <f>SUM(OSRRefT22_10x_0)</f>
        <v>-37050</v>
      </c>
      <c r="U104" s="1"/>
      <c r="V104" s="5">
        <f t="shared" si="49"/>
        <v>-8.6279749921463304E-3</v>
      </c>
      <c r="W104" s="1"/>
      <c r="X104" s="1">
        <f t="shared" si="50"/>
        <v>21360.26</v>
      </c>
      <c r="Y104" s="1"/>
      <c r="Z104" s="5">
        <f t="shared" si="51"/>
        <v>-0.57652523616734141</v>
      </c>
    </row>
    <row r="105" spans="1:26" s="24" customFormat="1" hidden="1" outlineLevel="2" x14ac:dyDescent="0.3">
      <c r="A105" s="27"/>
      <c r="B105" s="11" t="str">
        <f>CONCATENATE("          ", "6305", " - ", "FREIGHT OUT")</f>
        <v xml:space="preserve">          6305 - FREIGHT OUT</v>
      </c>
      <c r="C105" s="11"/>
      <c r="D105" s="6">
        <v>4399.6499999999996</v>
      </c>
      <c r="E105" s="2"/>
      <c r="F105" s="7">
        <f t="shared" si="44"/>
        <v>1.7679692222222125E-3</v>
      </c>
      <c r="G105" s="2"/>
      <c r="H105" s="6">
        <v>7365</v>
      </c>
      <c r="I105" s="2"/>
      <c r="J105" s="7">
        <f t="shared" si="45"/>
        <v>2.0257430268644057E-3</v>
      </c>
      <c r="K105" s="2"/>
      <c r="L105" s="6">
        <f t="shared" si="46"/>
        <v>-2965.3500000000004</v>
      </c>
      <c r="M105" s="2"/>
      <c r="N105" s="7">
        <f t="shared" si="47"/>
        <v>-0.40262729124236257</v>
      </c>
      <c r="O105" s="11"/>
      <c r="P105" s="6">
        <v>15382.34</v>
      </c>
      <c r="Q105" s="2"/>
      <c r="R105" s="7">
        <f t="shared" si="48"/>
        <v>5.1399842533236201E-3</v>
      </c>
      <c r="S105" s="2"/>
      <c r="T105" s="6">
        <v>16730</v>
      </c>
      <c r="U105" s="2"/>
      <c r="V105" s="7">
        <f t="shared" si="49"/>
        <v>3.8959789910555493E-3</v>
      </c>
      <c r="W105" s="2"/>
      <c r="X105" s="6">
        <f t="shared" si="50"/>
        <v>-1347.6599999999999</v>
      </c>
      <c r="Y105" s="2"/>
      <c r="Z105" s="7">
        <f t="shared" si="51"/>
        <v>-8.0553496712492526E-2</v>
      </c>
    </row>
    <row r="106" spans="1:26" s="24" customFormat="1" hidden="1" outlineLevel="2" x14ac:dyDescent="0.3">
      <c r="A106" s="27"/>
      <c r="B106" s="11" t="str">
        <f>CONCATENATE("          ", "6307", " - ", "POSTAGE")</f>
        <v xml:space="preserve">          6307 - POSTAGE</v>
      </c>
      <c r="C106" s="11"/>
      <c r="D106" s="6">
        <v>-23772.19</v>
      </c>
      <c r="E106" s="2"/>
      <c r="F106" s="7">
        <f t="shared" si="44"/>
        <v>-9.552691751575389E-3</v>
      </c>
      <c r="G106" s="2"/>
      <c r="H106" s="6">
        <v>-49890</v>
      </c>
      <c r="I106" s="2"/>
      <c r="J106" s="7">
        <f t="shared" si="45"/>
        <v>-1.3722242988494934E-2</v>
      </c>
      <c r="K106" s="2"/>
      <c r="L106" s="6">
        <f t="shared" si="46"/>
        <v>26117.81</v>
      </c>
      <c r="M106" s="2"/>
      <c r="N106" s="7">
        <f t="shared" si="47"/>
        <v>-0.52350791741832037</v>
      </c>
      <c r="O106" s="11"/>
      <c r="P106" s="6">
        <v>-31072.080000000002</v>
      </c>
      <c r="Q106" s="2"/>
      <c r="R106" s="7">
        <f t="shared" si="48"/>
        <v>-1.038268572388933E-2</v>
      </c>
      <c r="S106" s="2"/>
      <c r="T106" s="6">
        <v>-53780</v>
      </c>
      <c r="U106" s="2"/>
      <c r="V106" s="7">
        <f t="shared" si="49"/>
        <v>-1.252395398320188E-2</v>
      </c>
      <c r="W106" s="2"/>
      <c r="X106" s="6">
        <f t="shared" si="50"/>
        <v>22707.919999999998</v>
      </c>
      <c r="Y106" s="2"/>
      <c r="Z106" s="7">
        <f t="shared" si="51"/>
        <v>-0.42223726292301966</v>
      </c>
    </row>
    <row r="107" spans="1:26" s="28" customFormat="1" outlineLevel="1" collapsed="1" x14ac:dyDescent="0.3">
      <c r="A107" s="29"/>
      <c r="B107" s="14" t="str">
        <f>CONCATENATE("     ","General                                           ")</f>
        <v xml:space="preserve">     General                                           </v>
      </c>
      <c r="C107" s="14"/>
      <c r="D107" s="1">
        <f>SUM(OSRRefD22_11x_0)</f>
        <v>20039.87</v>
      </c>
      <c r="E107" s="1"/>
      <c r="F107" s="5">
        <f t="shared" ref="F107:F109" si="52">IF(D$12=0,0,D107/D$12)</f>
        <v>8.0528845197536739E-3</v>
      </c>
      <c r="G107" s="1"/>
      <c r="H107" s="1">
        <f>SUM(OSRRefH22_11x_0)</f>
        <v>935</v>
      </c>
      <c r="I107" s="1"/>
      <c r="J107" s="5">
        <f t="shared" ref="J107:J109" si="53">IF(H$12=0,0,H107/H$12)</f>
        <v>2.5717172167253488E-4</v>
      </c>
      <c r="K107" s="1"/>
      <c r="L107" s="1">
        <f t="shared" ref="L107:L109" si="54">+D107-H107</f>
        <v>19104.87</v>
      </c>
      <c r="M107" s="1"/>
      <c r="N107" s="5">
        <f t="shared" ref="N107:N109" si="55">IF(H107=0,0,L107/H107)</f>
        <v>20.433016042780746</v>
      </c>
      <c r="O107" s="14"/>
      <c r="P107" s="1">
        <f>SUM(OSRRefP22_11x_0)</f>
        <v>21311.599999999999</v>
      </c>
      <c r="Q107" s="1"/>
      <c r="R107" s="5">
        <f t="shared" ref="R107:R109" si="56">IF(P$12=0,0,P107/P$12)</f>
        <v>7.1212369778025746E-3</v>
      </c>
      <c r="S107" s="1"/>
      <c r="T107" s="1">
        <f>SUM(OSRRefT22_11x_0)</f>
        <v>10025</v>
      </c>
      <c r="U107" s="1"/>
      <c r="V107" s="5">
        <f t="shared" ref="V107:V109" si="57">IF(T$12=0,0,T107/T$12)</f>
        <v>2.3345600349869624E-3</v>
      </c>
      <c r="W107" s="1"/>
      <c r="X107" s="1">
        <f t="shared" ref="X107:X109" si="58">+P107-T107</f>
        <v>11286.599999999999</v>
      </c>
      <c r="Y107" s="1"/>
      <c r="Z107" s="5">
        <f t="shared" ref="Z107:Z109" si="59">IF(T107=0,0,X107/T107)</f>
        <v>1.1258453865336657</v>
      </c>
    </row>
    <row r="108" spans="1:26" s="24" customFormat="1" hidden="1" outlineLevel="2" x14ac:dyDescent="0.3">
      <c r="A108" s="27"/>
      <c r="B108" s="11" t="str">
        <f>CONCATENATE("          ", "6276", " - ", "PROPERTY TAX")</f>
        <v xml:space="preserve">          6276 - PROPERTY TAX</v>
      </c>
      <c r="C108" s="11"/>
      <c r="D108" s="6"/>
      <c r="E108" s="2"/>
      <c r="F108" s="7">
        <f t="shared" si="52"/>
        <v>0</v>
      </c>
      <c r="G108" s="2"/>
      <c r="H108" s="6"/>
      <c r="I108" s="2"/>
      <c r="J108" s="7">
        <f t="shared" si="53"/>
        <v>0</v>
      </c>
      <c r="K108" s="2"/>
      <c r="L108" s="6">
        <f t="shared" si="54"/>
        <v>0</v>
      </c>
      <c r="M108" s="2"/>
      <c r="N108" s="7">
        <f t="shared" si="55"/>
        <v>0</v>
      </c>
      <c r="O108" s="11"/>
      <c r="P108" s="6"/>
      <c r="Q108" s="2"/>
      <c r="R108" s="7">
        <f t="shared" si="56"/>
        <v>0</v>
      </c>
      <c r="S108" s="2"/>
      <c r="T108" s="6">
        <v>125</v>
      </c>
      <c r="U108" s="2"/>
      <c r="V108" s="7">
        <f t="shared" si="57"/>
        <v>2.9109227368914744E-5</v>
      </c>
      <c r="W108" s="2"/>
      <c r="X108" s="6">
        <f t="shared" si="58"/>
        <v>-125</v>
      </c>
      <c r="Y108" s="2"/>
      <c r="Z108" s="7">
        <f t="shared" si="59"/>
        <v>-1</v>
      </c>
    </row>
    <row r="109" spans="1:26" s="24" customFormat="1" hidden="1" outlineLevel="2" x14ac:dyDescent="0.3">
      <c r="A109" s="27"/>
      <c r="B109" s="11" t="str">
        <f>CONCATENATE("          ", "6279", " - ", "GENERAL EXPENSE")</f>
        <v xml:space="preserve">          6279 - GENERAL EXPENSE</v>
      </c>
      <c r="C109" s="11"/>
      <c r="D109" s="6">
        <v>20039.87</v>
      </c>
      <c r="E109" s="2"/>
      <c r="F109" s="7">
        <f t="shared" si="52"/>
        <v>8.0528845197536739E-3</v>
      </c>
      <c r="G109" s="2"/>
      <c r="H109" s="6">
        <v>935</v>
      </c>
      <c r="I109" s="2"/>
      <c r="J109" s="7">
        <f t="shared" si="53"/>
        <v>2.5717172167253488E-4</v>
      </c>
      <c r="K109" s="2"/>
      <c r="L109" s="6">
        <f t="shared" si="54"/>
        <v>19104.87</v>
      </c>
      <c r="M109" s="2"/>
      <c r="N109" s="7">
        <f t="shared" si="55"/>
        <v>20.433016042780746</v>
      </c>
      <c r="O109" s="11"/>
      <c r="P109" s="6">
        <v>21311.599999999999</v>
      </c>
      <c r="Q109" s="2"/>
      <c r="R109" s="7">
        <f t="shared" si="56"/>
        <v>7.1212369778025746E-3</v>
      </c>
      <c r="S109" s="2"/>
      <c r="T109" s="6">
        <v>9900</v>
      </c>
      <c r="U109" s="2"/>
      <c r="V109" s="7">
        <f t="shared" si="57"/>
        <v>2.3054508076180476E-3</v>
      </c>
      <c r="W109" s="2"/>
      <c r="X109" s="6">
        <f t="shared" si="58"/>
        <v>11411.599999999999</v>
      </c>
      <c r="Y109" s="2"/>
      <c r="Z109" s="7">
        <f t="shared" si="59"/>
        <v>1.1526868686868685</v>
      </c>
    </row>
    <row r="110" spans="1:26" s="28" customFormat="1" outlineLevel="1" collapsed="1" x14ac:dyDescent="0.3">
      <c r="A110" s="29"/>
      <c r="B110" s="14" t="str">
        <f>CONCATENATE("     ","Insurance                                         ")</f>
        <v xml:space="preserve">     Insurance                                         </v>
      </c>
      <c r="C110" s="14"/>
      <c r="D110" s="1">
        <f>SUM(OSRRefD22_12x_0)</f>
        <v>11626.43</v>
      </c>
      <c r="E110" s="1"/>
      <c r="F110" s="5">
        <f t="shared" ref="F110:F126" si="60">IF(D$12=0,0,D110/D$12)</f>
        <v>4.6720012738106437E-3</v>
      </c>
      <c r="G110" s="1"/>
      <c r="H110" s="1">
        <f>SUM(OSRRefH22_12x_0)</f>
        <v>11425</v>
      </c>
      <c r="I110" s="1"/>
      <c r="J110" s="5">
        <f t="shared" ref="J110:J126" si="61">IF(H$12=0,0,H110/H$12)</f>
        <v>3.1424459038595838E-3</v>
      </c>
      <c r="K110" s="1"/>
      <c r="L110" s="1">
        <f t="shared" ref="L110:L126" si="62">+D110-H110</f>
        <v>201.43000000000029</v>
      </c>
      <c r="M110" s="1"/>
      <c r="N110" s="5">
        <f t="shared" ref="N110:N126" si="63">IF(H110=0,0,L110/H110)</f>
        <v>1.7630634573304185E-2</v>
      </c>
      <c r="O110" s="14"/>
      <c r="P110" s="1">
        <f>SUM(OSRRefP22_12x_0)</f>
        <v>23252.87</v>
      </c>
      <c r="Q110" s="1"/>
      <c r="R110" s="5">
        <f t="shared" ref="R110:R126" si="64">IF(P$12=0,0,P110/P$12)</f>
        <v>7.769909236473852E-3</v>
      </c>
      <c r="S110" s="1"/>
      <c r="T110" s="1">
        <f>SUM(OSRRefT22_12x_0)</f>
        <v>22850</v>
      </c>
      <c r="U110" s="1"/>
      <c r="V110" s="5">
        <f t="shared" ref="V110:V126" si="65">IF(T$12=0,0,T110/T$12)</f>
        <v>5.3211667630376153E-3</v>
      </c>
      <c r="W110" s="1"/>
      <c r="X110" s="1">
        <f t="shared" ref="X110:X126" si="66">+P110-T110</f>
        <v>402.86999999999898</v>
      </c>
      <c r="Y110" s="1"/>
      <c r="Z110" s="5">
        <f t="shared" ref="Z110:Z126" si="67">IF(T110=0,0,X110/T110)</f>
        <v>1.7631072210065601E-2</v>
      </c>
    </row>
    <row r="111" spans="1:26" s="24" customFormat="1" hidden="1" outlineLevel="2" x14ac:dyDescent="0.3">
      <c r="A111" s="27"/>
      <c r="B111" s="11" t="str">
        <f>CONCATENATE("          ", "6314", " - ", "LIABILITY INSURANCE")</f>
        <v xml:space="preserve">          6314 - LIABILITY INSURANCE</v>
      </c>
      <c r="C111" s="11"/>
      <c r="D111" s="6">
        <v>11626.43</v>
      </c>
      <c r="E111" s="2"/>
      <c r="F111" s="7">
        <f t="shared" si="60"/>
        <v>4.6720012738106437E-3</v>
      </c>
      <c r="G111" s="2"/>
      <c r="H111" s="6">
        <v>11425</v>
      </c>
      <c r="I111" s="2"/>
      <c r="J111" s="7">
        <f t="shared" si="61"/>
        <v>3.1424459038595838E-3</v>
      </c>
      <c r="K111" s="2"/>
      <c r="L111" s="6">
        <f t="shared" si="62"/>
        <v>201.43000000000029</v>
      </c>
      <c r="M111" s="2"/>
      <c r="N111" s="7">
        <f t="shared" si="63"/>
        <v>1.7630634573304185E-2</v>
      </c>
      <c r="O111" s="11"/>
      <c r="P111" s="6">
        <v>23252.87</v>
      </c>
      <c r="Q111" s="2"/>
      <c r="R111" s="7">
        <f t="shared" si="64"/>
        <v>7.769909236473852E-3</v>
      </c>
      <c r="S111" s="2"/>
      <c r="T111" s="6">
        <v>22850</v>
      </c>
      <c r="U111" s="2"/>
      <c r="V111" s="7">
        <f t="shared" si="65"/>
        <v>5.3211667630376153E-3</v>
      </c>
      <c r="W111" s="2"/>
      <c r="X111" s="6">
        <f t="shared" si="66"/>
        <v>402.86999999999898</v>
      </c>
      <c r="Y111" s="2"/>
      <c r="Z111" s="7">
        <f t="shared" si="67"/>
        <v>1.7631072210065601E-2</v>
      </c>
    </row>
    <row r="112" spans="1:26" s="28" customFormat="1" outlineLevel="1" collapsed="1" x14ac:dyDescent="0.3">
      <c r="A112" s="29"/>
      <c r="B112" s="14" t="str">
        <f>CONCATENATE("     ","Interest                                          ")</f>
        <v xml:space="preserve">     Interest                                          </v>
      </c>
      <c r="C112" s="14"/>
      <c r="D112" s="1">
        <f>SUM(OSRRefD22_13x_0)</f>
        <v>11158</v>
      </c>
      <c r="E112" s="1"/>
      <c r="F112" s="5">
        <f t="shared" si="60"/>
        <v>4.4837658862762831E-3</v>
      </c>
      <c r="G112" s="1"/>
      <c r="H112" s="1">
        <f>SUM(OSRRefH22_13x_0)</f>
        <v>11158</v>
      </c>
      <c r="I112" s="1"/>
      <c r="J112" s="5">
        <f t="shared" si="61"/>
        <v>3.0690075619488172E-3</v>
      </c>
      <c r="K112" s="1"/>
      <c r="L112" s="1">
        <f t="shared" si="62"/>
        <v>0</v>
      </c>
      <c r="M112" s="1"/>
      <c r="N112" s="5">
        <f t="shared" si="63"/>
        <v>0</v>
      </c>
      <c r="O112" s="14"/>
      <c r="P112" s="1">
        <f>SUM(OSRRefP22_13x_0)</f>
        <v>22316</v>
      </c>
      <c r="Q112" s="1"/>
      <c r="R112" s="5">
        <f t="shared" si="64"/>
        <v>7.45685562776339E-3</v>
      </c>
      <c r="S112" s="1"/>
      <c r="T112" s="1">
        <f>SUM(OSRRefT22_13x_0)</f>
        <v>22316</v>
      </c>
      <c r="U112" s="1"/>
      <c r="V112" s="5">
        <f t="shared" si="65"/>
        <v>5.1968121437176119E-3</v>
      </c>
      <c r="W112" s="1"/>
      <c r="X112" s="1">
        <f t="shared" si="66"/>
        <v>0</v>
      </c>
      <c r="Y112" s="1"/>
      <c r="Z112" s="5">
        <f t="shared" si="67"/>
        <v>0</v>
      </c>
    </row>
    <row r="113" spans="1:26" s="24" customFormat="1" hidden="1" outlineLevel="2" x14ac:dyDescent="0.3">
      <c r="A113" s="27"/>
      <c r="B113" s="11" t="str">
        <f>CONCATENATE("          ", "6401", " - ", "INTEREST EXPENSE")</f>
        <v xml:space="preserve">          6401 - INTEREST EXPENSE</v>
      </c>
      <c r="C113" s="11"/>
      <c r="D113" s="6">
        <v>11158</v>
      </c>
      <c r="E113" s="2"/>
      <c r="F113" s="7">
        <f t="shared" si="60"/>
        <v>4.4837658862762831E-3</v>
      </c>
      <c r="G113" s="2"/>
      <c r="H113" s="6">
        <v>11158</v>
      </c>
      <c r="I113" s="2"/>
      <c r="J113" s="7">
        <f t="shared" si="61"/>
        <v>3.0690075619488172E-3</v>
      </c>
      <c r="K113" s="2"/>
      <c r="L113" s="6">
        <f t="shared" si="62"/>
        <v>0</v>
      </c>
      <c r="M113" s="2"/>
      <c r="N113" s="7">
        <f t="shared" si="63"/>
        <v>0</v>
      </c>
      <c r="O113" s="11"/>
      <c r="P113" s="6">
        <v>22316</v>
      </c>
      <c r="Q113" s="2"/>
      <c r="R113" s="7">
        <f t="shared" si="64"/>
        <v>7.45685562776339E-3</v>
      </c>
      <c r="S113" s="2"/>
      <c r="T113" s="6">
        <v>22316</v>
      </c>
      <c r="U113" s="2"/>
      <c r="V113" s="7">
        <f t="shared" si="65"/>
        <v>5.1968121437176119E-3</v>
      </c>
      <c r="W113" s="2"/>
      <c r="X113" s="6">
        <f t="shared" si="66"/>
        <v>0</v>
      </c>
      <c r="Y113" s="2"/>
      <c r="Z113" s="7">
        <f t="shared" si="67"/>
        <v>0</v>
      </c>
    </row>
    <row r="114" spans="1:26" s="28" customFormat="1" outlineLevel="1" collapsed="1" x14ac:dyDescent="0.3">
      <c r="A114" s="29"/>
      <c r="B114" s="14" t="str">
        <f>CONCATENATE("     ","Inventory Adjustment                              ")</f>
        <v xml:space="preserve">     Inventory Adjustment                              </v>
      </c>
      <c r="C114" s="14"/>
      <c r="D114" s="1">
        <f>SUM(OSRRefD22_14x_0)</f>
        <v>7120</v>
      </c>
      <c r="E114" s="1"/>
      <c r="F114" s="5">
        <f t="shared" si="60"/>
        <v>2.8611232398536596E-3</v>
      </c>
      <c r="G114" s="1"/>
      <c r="H114" s="1">
        <f>SUM(OSRRefH22_14x_0)</f>
        <v>7120</v>
      </c>
      <c r="I114" s="1"/>
      <c r="J114" s="5">
        <f t="shared" si="61"/>
        <v>1.9583557842871102E-3</v>
      </c>
      <c r="K114" s="1"/>
      <c r="L114" s="1">
        <f t="shared" si="62"/>
        <v>0</v>
      </c>
      <c r="M114" s="1"/>
      <c r="N114" s="5">
        <f t="shared" si="63"/>
        <v>0</v>
      </c>
      <c r="O114" s="14"/>
      <c r="P114" s="1">
        <f>SUM(OSRRefP22_14x_0)</f>
        <v>13690</v>
      </c>
      <c r="Q114" s="1"/>
      <c r="R114" s="5">
        <f t="shared" si="64"/>
        <v>4.5744915551210255E-3</v>
      </c>
      <c r="S114" s="1"/>
      <c r="T114" s="1">
        <f>SUM(OSRRefT22_14x_0)</f>
        <v>13690</v>
      </c>
      <c r="U114" s="1"/>
      <c r="V114" s="5">
        <f t="shared" si="65"/>
        <v>3.1880425814435429E-3</v>
      </c>
      <c r="W114" s="1"/>
      <c r="X114" s="1">
        <f t="shared" si="66"/>
        <v>0</v>
      </c>
      <c r="Y114" s="1"/>
      <c r="Z114" s="5">
        <f t="shared" si="67"/>
        <v>0</v>
      </c>
    </row>
    <row r="115" spans="1:26" s="24" customFormat="1" hidden="1" outlineLevel="2" x14ac:dyDescent="0.3">
      <c r="A115" s="27"/>
      <c r="B115" s="11" t="str">
        <f>CONCATENATE("          ", "6408", " - ", "INVENTORY ADJUSTMENT")</f>
        <v xml:space="preserve">          6408 - INVENTORY ADJUSTMENT</v>
      </c>
      <c r="C115" s="11"/>
      <c r="D115" s="6">
        <v>7120</v>
      </c>
      <c r="E115" s="2"/>
      <c r="F115" s="7">
        <f t="shared" si="60"/>
        <v>2.8611232398536596E-3</v>
      </c>
      <c r="G115" s="2"/>
      <c r="H115" s="6">
        <v>7120</v>
      </c>
      <c r="I115" s="2"/>
      <c r="J115" s="7">
        <f t="shared" si="61"/>
        <v>1.9583557842871102E-3</v>
      </c>
      <c r="K115" s="2"/>
      <c r="L115" s="6">
        <f t="shared" si="62"/>
        <v>0</v>
      </c>
      <c r="M115" s="2"/>
      <c r="N115" s="7">
        <f t="shared" si="63"/>
        <v>0</v>
      </c>
      <c r="O115" s="11"/>
      <c r="P115" s="6">
        <v>13690</v>
      </c>
      <c r="Q115" s="2"/>
      <c r="R115" s="7">
        <f t="shared" si="64"/>
        <v>4.5744915551210255E-3</v>
      </c>
      <c r="S115" s="2"/>
      <c r="T115" s="6">
        <v>13690</v>
      </c>
      <c r="U115" s="2"/>
      <c r="V115" s="7">
        <f t="shared" si="65"/>
        <v>3.1880425814435429E-3</v>
      </c>
      <c r="W115" s="2"/>
      <c r="X115" s="6">
        <f t="shared" si="66"/>
        <v>0</v>
      </c>
      <c r="Y115" s="2"/>
      <c r="Z115" s="7">
        <f t="shared" si="67"/>
        <v>0</v>
      </c>
    </row>
    <row r="116" spans="1:26" s="28" customFormat="1" outlineLevel="1" collapsed="1" x14ac:dyDescent="0.3">
      <c r="A116" s="29"/>
      <c r="B116" s="14" t="str">
        <f>CONCATENATE("     ","Professional Services                             ")</f>
        <v xml:space="preserve">     Professional Services                             </v>
      </c>
      <c r="C116" s="14"/>
      <c r="D116" s="1">
        <f>SUM(OSRRefD22_15x_0)</f>
        <v>0</v>
      </c>
      <c r="E116" s="1"/>
      <c r="F116" s="5">
        <f t="shared" si="60"/>
        <v>0</v>
      </c>
      <c r="G116" s="1"/>
      <c r="H116" s="1">
        <f>SUM(OSRRefH22_15x_0)</f>
        <v>0</v>
      </c>
      <c r="I116" s="1"/>
      <c r="J116" s="5">
        <f t="shared" si="61"/>
        <v>0</v>
      </c>
      <c r="K116" s="1"/>
      <c r="L116" s="1">
        <f t="shared" si="62"/>
        <v>0</v>
      </c>
      <c r="M116" s="1"/>
      <c r="N116" s="5">
        <f t="shared" si="63"/>
        <v>0</v>
      </c>
      <c r="O116" s="14"/>
      <c r="P116" s="1">
        <f>SUM(OSRRefP22_15x_0)</f>
        <v>0</v>
      </c>
      <c r="Q116" s="1"/>
      <c r="R116" s="5">
        <f t="shared" si="64"/>
        <v>0</v>
      </c>
      <c r="S116" s="1"/>
      <c r="T116" s="1">
        <f>SUM(OSRRefT22_15x_0)</f>
        <v>1000</v>
      </c>
      <c r="U116" s="1"/>
      <c r="V116" s="5">
        <f t="shared" si="65"/>
        <v>2.3287381895131795E-4</v>
      </c>
      <c r="W116" s="1"/>
      <c r="X116" s="1">
        <f t="shared" si="66"/>
        <v>-1000</v>
      </c>
      <c r="Y116" s="1"/>
      <c r="Z116" s="5">
        <f t="shared" si="67"/>
        <v>-1</v>
      </c>
    </row>
    <row r="117" spans="1:26" s="24" customFormat="1" hidden="1" outlineLevel="2" x14ac:dyDescent="0.3">
      <c r="A117" s="27"/>
      <c r="B117" s="11" t="str">
        <f>CONCATENATE("          ", "6336", " - ", "PROFESSIONAL SERVICES")</f>
        <v xml:space="preserve">          6336 - PROFESSIONAL SERVICES</v>
      </c>
      <c r="C117" s="11"/>
      <c r="D117" s="6"/>
      <c r="E117" s="2"/>
      <c r="F117" s="7">
        <f t="shared" si="60"/>
        <v>0</v>
      </c>
      <c r="G117" s="2"/>
      <c r="H117" s="6">
        <v>0</v>
      </c>
      <c r="I117" s="2"/>
      <c r="J117" s="7">
        <f t="shared" si="61"/>
        <v>0</v>
      </c>
      <c r="K117" s="2"/>
      <c r="L117" s="6">
        <f t="shared" si="62"/>
        <v>0</v>
      </c>
      <c r="M117" s="2"/>
      <c r="N117" s="7">
        <f t="shared" si="63"/>
        <v>0</v>
      </c>
      <c r="O117" s="11"/>
      <c r="P117" s="6"/>
      <c r="Q117" s="2"/>
      <c r="R117" s="7">
        <f t="shared" si="64"/>
        <v>0</v>
      </c>
      <c r="S117" s="2"/>
      <c r="T117" s="6">
        <v>1000</v>
      </c>
      <c r="U117" s="2"/>
      <c r="V117" s="7">
        <f t="shared" si="65"/>
        <v>2.3287381895131795E-4</v>
      </c>
      <c r="W117" s="2"/>
      <c r="X117" s="6">
        <f t="shared" si="66"/>
        <v>-1000</v>
      </c>
      <c r="Y117" s="2"/>
      <c r="Z117" s="7">
        <f t="shared" si="67"/>
        <v>-1</v>
      </c>
    </row>
    <row r="118" spans="1:26" s="28" customFormat="1" outlineLevel="1" collapsed="1" x14ac:dyDescent="0.3">
      <c r="A118" s="29"/>
      <c r="B118" s="14" t="str">
        <f>CONCATENATE("     ","R/H Commissions                                   ")</f>
        <v xml:space="preserve">     R/H Commissions                                   </v>
      </c>
      <c r="C118" s="14"/>
      <c r="D118" s="1">
        <f>SUM(OSRRefD22_16x_0)</f>
        <v>38588</v>
      </c>
      <c r="E118" s="1"/>
      <c r="F118" s="5">
        <f t="shared" si="60"/>
        <v>1.550632353644284E-2</v>
      </c>
      <c r="G118" s="1"/>
      <c r="H118" s="1">
        <f>SUM(OSRRefH22_16x_0)</f>
        <v>22579</v>
      </c>
      <c r="I118" s="1"/>
      <c r="J118" s="5">
        <f t="shared" si="61"/>
        <v>6.2103532659295874E-3</v>
      </c>
      <c r="K118" s="1"/>
      <c r="L118" s="1">
        <f t="shared" si="62"/>
        <v>16009</v>
      </c>
      <c r="M118" s="1"/>
      <c r="N118" s="5">
        <f t="shared" si="63"/>
        <v>0.70902165729217415</v>
      </c>
      <c r="O118" s="14"/>
      <c r="P118" s="1">
        <f>SUM(OSRRefP22_16x_0)</f>
        <v>40156</v>
      </c>
      <c r="Q118" s="1"/>
      <c r="R118" s="5">
        <f t="shared" si="64"/>
        <v>1.3418063030492323E-2</v>
      </c>
      <c r="S118" s="1"/>
      <c r="T118" s="1">
        <f>SUM(OSRRefT22_16x_0)</f>
        <v>22579</v>
      </c>
      <c r="U118" s="1"/>
      <c r="V118" s="5">
        <f t="shared" si="65"/>
        <v>5.258057958101808E-3</v>
      </c>
      <c r="W118" s="1"/>
      <c r="X118" s="1">
        <f t="shared" si="66"/>
        <v>17577</v>
      </c>
      <c r="Y118" s="1"/>
      <c r="Z118" s="5">
        <f t="shared" si="67"/>
        <v>0.77846671686079982</v>
      </c>
    </row>
    <row r="119" spans="1:26" s="24" customFormat="1" hidden="1" outlineLevel="2" x14ac:dyDescent="0.3">
      <c r="A119" s="27"/>
      <c r="B119" s="11" t="str">
        <f>CONCATENATE("          ", "6387", " - ", "COMMISSION DUE HOUSING")</f>
        <v xml:space="preserve">          6387 - COMMISSION DUE HOUSING</v>
      </c>
      <c r="C119" s="11"/>
      <c r="D119" s="6">
        <v>38588</v>
      </c>
      <c r="E119" s="2"/>
      <c r="F119" s="7">
        <f t="shared" si="60"/>
        <v>1.550632353644284E-2</v>
      </c>
      <c r="G119" s="2"/>
      <c r="H119" s="6">
        <v>22579</v>
      </c>
      <c r="I119" s="2"/>
      <c r="J119" s="7">
        <f t="shared" si="61"/>
        <v>6.2103532659295874E-3</v>
      </c>
      <c r="K119" s="2"/>
      <c r="L119" s="6">
        <f t="shared" si="62"/>
        <v>16009</v>
      </c>
      <c r="M119" s="2"/>
      <c r="N119" s="7">
        <f t="shared" si="63"/>
        <v>0.70902165729217415</v>
      </c>
      <c r="O119" s="11"/>
      <c r="P119" s="6">
        <v>40156</v>
      </c>
      <c r="Q119" s="2"/>
      <c r="R119" s="7">
        <f t="shared" si="64"/>
        <v>1.3418063030492323E-2</v>
      </c>
      <c r="S119" s="2"/>
      <c r="T119" s="6">
        <v>22579</v>
      </c>
      <c r="U119" s="2"/>
      <c r="V119" s="7">
        <f t="shared" si="65"/>
        <v>5.258057958101808E-3</v>
      </c>
      <c r="W119" s="2"/>
      <c r="X119" s="6">
        <f t="shared" si="66"/>
        <v>17577</v>
      </c>
      <c r="Y119" s="2"/>
      <c r="Z119" s="7">
        <f t="shared" si="67"/>
        <v>0.77846671686079982</v>
      </c>
    </row>
    <row r="120" spans="1:26" s="28" customFormat="1" outlineLevel="1" collapsed="1" x14ac:dyDescent="0.3">
      <c r="A120" s="29"/>
      <c r="B120" s="14" t="str">
        <f>CONCATENATE("     ","Rent                                              ")</f>
        <v xml:space="preserve">     Rent                                              </v>
      </c>
      <c r="C120" s="14"/>
      <c r="D120" s="1">
        <f>SUM(OSRRefD22_17x_0)</f>
        <v>8750</v>
      </c>
      <c r="E120" s="1"/>
      <c r="F120" s="5">
        <f t="shared" si="60"/>
        <v>3.5161275770673487E-3</v>
      </c>
      <c r="G120" s="1"/>
      <c r="H120" s="1">
        <f>SUM(OSRRefH22_17x_0)</f>
        <v>8750</v>
      </c>
      <c r="I120" s="1"/>
      <c r="J120" s="5">
        <f t="shared" si="61"/>
        <v>2.4066872349034012E-3</v>
      </c>
      <c r="K120" s="1"/>
      <c r="L120" s="1">
        <f t="shared" si="62"/>
        <v>0</v>
      </c>
      <c r="M120" s="1"/>
      <c r="N120" s="5">
        <f t="shared" si="63"/>
        <v>0</v>
      </c>
      <c r="O120" s="14"/>
      <c r="P120" s="1">
        <f>SUM(OSRRefP22_17x_0)</f>
        <v>17500</v>
      </c>
      <c r="Q120" s="1"/>
      <c r="R120" s="5">
        <f t="shared" si="64"/>
        <v>5.8475969477441887E-3</v>
      </c>
      <c r="S120" s="1"/>
      <c r="T120" s="1">
        <f>SUM(OSRRefT22_17x_0)</f>
        <v>17500</v>
      </c>
      <c r="U120" s="1"/>
      <c r="V120" s="5">
        <f t="shared" si="65"/>
        <v>4.0752918316480646E-3</v>
      </c>
      <c r="W120" s="1"/>
      <c r="X120" s="1">
        <f t="shared" si="66"/>
        <v>0</v>
      </c>
      <c r="Y120" s="1"/>
      <c r="Z120" s="5">
        <f t="shared" si="67"/>
        <v>0</v>
      </c>
    </row>
    <row r="121" spans="1:26" s="24" customFormat="1" hidden="1" outlineLevel="2" x14ac:dyDescent="0.3">
      <c r="A121" s="27"/>
      <c r="B121" s="11" t="str">
        <f>CONCATENATE("          ", "6273", " - ", "RENT")</f>
        <v xml:space="preserve">          6273 - RENT</v>
      </c>
      <c r="C121" s="11"/>
      <c r="D121" s="6">
        <v>8750</v>
      </c>
      <c r="E121" s="2"/>
      <c r="F121" s="7">
        <f t="shared" si="60"/>
        <v>3.5161275770673487E-3</v>
      </c>
      <c r="G121" s="2"/>
      <c r="H121" s="6">
        <v>8750</v>
      </c>
      <c r="I121" s="2"/>
      <c r="J121" s="7">
        <f t="shared" si="61"/>
        <v>2.4066872349034012E-3</v>
      </c>
      <c r="K121" s="2"/>
      <c r="L121" s="6">
        <f t="shared" si="62"/>
        <v>0</v>
      </c>
      <c r="M121" s="2"/>
      <c r="N121" s="7">
        <f t="shared" si="63"/>
        <v>0</v>
      </c>
      <c r="O121" s="11"/>
      <c r="P121" s="6">
        <v>17500</v>
      </c>
      <c r="Q121" s="2"/>
      <c r="R121" s="7">
        <f t="shared" si="64"/>
        <v>5.8475969477441887E-3</v>
      </c>
      <c r="S121" s="2"/>
      <c r="T121" s="6">
        <v>17500</v>
      </c>
      <c r="U121" s="2"/>
      <c r="V121" s="7">
        <f t="shared" si="65"/>
        <v>4.0752918316480646E-3</v>
      </c>
      <c r="W121" s="2"/>
      <c r="X121" s="6">
        <f t="shared" si="66"/>
        <v>0</v>
      </c>
      <c r="Y121" s="2"/>
      <c r="Z121" s="7">
        <f t="shared" si="67"/>
        <v>0</v>
      </c>
    </row>
    <row r="122" spans="1:26" s="28" customFormat="1" outlineLevel="1" collapsed="1" x14ac:dyDescent="0.3">
      <c r="A122" s="29"/>
      <c r="B122" s="14" t="str">
        <f>CONCATENATE("     ","Repair and Maintenance                            ")</f>
        <v xml:space="preserve">     Repair and Maintenance                            </v>
      </c>
      <c r="C122" s="14"/>
      <c r="D122" s="1">
        <f>SUM(OSRRefD22_18x_0)</f>
        <v>36023.160000000003</v>
      </c>
      <c r="E122" s="1"/>
      <c r="F122" s="5">
        <f t="shared" si="60"/>
        <v>1.4475660147326794E-2</v>
      </c>
      <c r="G122" s="1"/>
      <c r="H122" s="1">
        <f>SUM(OSRRefH22_18x_0)</f>
        <v>145608</v>
      </c>
      <c r="I122" s="1"/>
      <c r="J122" s="5">
        <f t="shared" si="61"/>
        <v>4.0049475988550222E-2</v>
      </c>
      <c r="K122" s="1"/>
      <c r="L122" s="1">
        <f t="shared" si="62"/>
        <v>-109584.84</v>
      </c>
      <c r="M122" s="1"/>
      <c r="N122" s="5">
        <f t="shared" si="63"/>
        <v>-0.75260178012197132</v>
      </c>
      <c r="O122" s="14"/>
      <c r="P122" s="1">
        <f>SUM(OSRRefP22_18x_0)</f>
        <v>230047.22</v>
      </c>
      <c r="Q122" s="1"/>
      <c r="R122" s="5">
        <f t="shared" si="64"/>
        <v>7.6869909800516334E-2</v>
      </c>
      <c r="S122" s="1"/>
      <c r="T122" s="1">
        <f>SUM(OSRRefT22_18x_0)</f>
        <v>213452</v>
      </c>
      <c r="U122" s="1"/>
      <c r="V122" s="5">
        <f t="shared" si="65"/>
        <v>4.9707382402796721E-2</v>
      </c>
      <c r="W122" s="1"/>
      <c r="X122" s="1">
        <f t="shared" si="66"/>
        <v>16595.22</v>
      </c>
      <c r="Y122" s="1"/>
      <c r="Z122" s="5">
        <f t="shared" si="67"/>
        <v>7.7746847066319361E-2</v>
      </c>
    </row>
    <row r="123" spans="1:26" s="24" customFormat="1" hidden="1" outlineLevel="2" x14ac:dyDescent="0.3">
      <c r="A123" s="27"/>
      <c r="B123" s="11" t="str">
        <f>CONCATENATE("          ", "6371", " - ", "COMPUTER SOFTWARE MAINTENANCE")</f>
        <v xml:space="preserve">          6371 - COMPUTER SOFTWARE MAINTENANCE</v>
      </c>
      <c r="C123" s="11"/>
      <c r="D123" s="6">
        <v>8677.7199999999993</v>
      </c>
      <c r="E123" s="2"/>
      <c r="F123" s="7">
        <f t="shared" si="60"/>
        <v>3.4870823540650137E-3</v>
      </c>
      <c r="G123" s="2"/>
      <c r="H123" s="6">
        <v>129500</v>
      </c>
      <c r="I123" s="2"/>
      <c r="J123" s="7">
        <f t="shared" si="61"/>
        <v>3.5618971076570333E-2</v>
      </c>
      <c r="K123" s="2"/>
      <c r="L123" s="6">
        <f t="shared" si="62"/>
        <v>-120822.28</v>
      </c>
      <c r="M123" s="2"/>
      <c r="N123" s="7">
        <f t="shared" si="63"/>
        <v>-0.93299057915057915</v>
      </c>
      <c r="O123" s="11"/>
      <c r="P123" s="6">
        <v>71801.22</v>
      </c>
      <c r="Q123" s="2"/>
      <c r="R123" s="7">
        <f t="shared" si="64"/>
        <v>2.399226256664623E-2</v>
      </c>
      <c r="S123" s="2"/>
      <c r="T123" s="6">
        <v>173000</v>
      </c>
      <c r="U123" s="2"/>
      <c r="V123" s="7">
        <f t="shared" si="65"/>
        <v>4.028717067857801E-2</v>
      </c>
      <c r="W123" s="2"/>
      <c r="X123" s="6">
        <f t="shared" si="66"/>
        <v>-101198.78</v>
      </c>
      <c r="Y123" s="2"/>
      <c r="Z123" s="7">
        <f t="shared" si="67"/>
        <v>-0.58496404624277454</v>
      </c>
    </row>
    <row r="124" spans="1:26" s="24" customFormat="1" hidden="1" outlineLevel="2" x14ac:dyDescent="0.3">
      <c r="A124" s="27"/>
      <c r="B124" s="11" t="str">
        <f>CONCATENATE("          ", "6372", " - ", "COMPUTER HARDWARE MAINTENANCE")</f>
        <v xml:space="preserve">          6372 - COMPUTER HARDWARE MAINTENANCE</v>
      </c>
      <c r="C124" s="11"/>
      <c r="D124" s="6"/>
      <c r="E124" s="2"/>
      <c r="F124" s="7">
        <f t="shared" si="60"/>
        <v>0</v>
      </c>
      <c r="G124" s="2"/>
      <c r="H124" s="6">
        <v>6950</v>
      </c>
      <c r="I124" s="2"/>
      <c r="J124" s="7">
        <f t="shared" si="61"/>
        <v>1.9115972894375585E-3</v>
      </c>
      <c r="K124" s="2"/>
      <c r="L124" s="6">
        <f t="shared" si="62"/>
        <v>-6950</v>
      </c>
      <c r="M124" s="2"/>
      <c r="N124" s="7">
        <f t="shared" si="63"/>
        <v>-1</v>
      </c>
      <c r="O124" s="11"/>
      <c r="P124" s="6"/>
      <c r="Q124" s="2"/>
      <c r="R124" s="7">
        <f t="shared" si="64"/>
        <v>0</v>
      </c>
      <c r="S124" s="2"/>
      <c r="T124" s="6">
        <v>10520</v>
      </c>
      <c r="U124" s="2"/>
      <c r="V124" s="7">
        <f t="shared" si="65"/>
        <v>2.4498325753678648E-3</v>
      </c>
      <c r="W124" s="2"/>
      <c r="X124" s="6">
        <f t="shared" si="66"/>
        <v>-10520</v>
      </c>
      <c r="Y124" s="2"/>
      <c r="Z124" s="7">
        <f t="shared" si="67"/>
        <v>-1</v>
      </c>
    </row>
    <row r="125" spans="1:26" s="24" customFormat="1" hidden="1" outlineLevel="2" x14ac:dyDescent="0.3">
      <c r="A125" s="27"/>
      <c r="B125" s="11" t="str">
        <f>CONCATENATE("          ", "6373", " - ", "MAINTENANCE CONTRACTS")</f>
        <v xml:space="preserve">          6373 - MAINTENANCE CONTRACTS</v>
      </c>
      <c r="C125" s="11"/>
      <c r="D125" s="6">
        <v>6010.42</v>
      </c>
      <c r="E125" s="2"/>
      <c r="F125" s="7">
        <f t="shared" si="60"/>
        <v>2.4152461156293869E-3</v>
      </c>
      <c r="G125" s="2"/>
      <c r="H125" s="6">
        <v>6155</v>
      </c>
      <c r="I125" s="2"/>
      <c r="J125" s="7">
        <f t="shared" si="61"/>
        <v>1.6929325635234782E-3</v>
      </c>
      <c r="K125" s="2"/>
      <c r="L125" s="6">
        <f t="shared" si="62"/>
        <v>-144.57999999999993</v>
      </c>
      <c r="M125" s="2"/>
      <c r="N125" s="7">
        <f t="shared" si="63"/>
        <v>-2.3489845653939873E-2</v>
      </c>
      <c r="O125" s="11"/>
      <c r="P125" s="6">
        <v>128680.54</v>
      </c>
      <c r="Q125" s="2"/>
      <c r="R125" s="7">
        <f t="shared" si="64"/>
        <v>4.2998396167889939E-2</v>
      </c>
      <c r="S125" s="2"/>
      <c r="T125" s="6">
        <v>13950</v>
      </c>
      <c r="U125" s="2"/>
      <c r="V125" s="7">
        <f t="shared" si="65"/>
        <v>3.2485897743708856E-3</v>
      </c>
      <c r="W125" s="2"/>
      <c r="X125" s="6">
        <f t="shared" si="66"/>
        <v>114730.54</v>
      </c>
      <c r="Y125" s="2"/>
      <c r="Z125" s="7">
        <f t="shared" si="67"/>
        <v>8.2244114695340489</v>
      </c>
    </row>
    <row r="126" spans="1:26" s="24" customFormat="1" hidden="1" outlineLevel="2" x14ac:dyDescent="0.3">
      <c r="A126" s="27"/>
      <c r="B126" s="11" t="str">
        <f>CONCATENATE("          ", "6375", " - ", "OUTSIDE REPAIRS &amp; MAINTENANCE")</f>
        <v xml:space="preserve">          6375 - OUTSIDE REPAIRS &amp; MAINTENANCE</v>
      </c>
      <c r="C126" s="11"/>
      <c r="D126" s="6">
        <v>21335.02</v>
      </c>
      <c r="E126" s="2"/>
      <c r="F126" s="7">
        <f t="shared" si="60"/>
        <v>8.5733316776323912E-3</v>
      </c>
      <c r="G126" s="2"/>
      <c r="H126" s="6">
        <v>3003</v>
      </c>
      <c r="I126" s="2"/>
      <c r="J126" s="7">
        <f t="shared" si="61"/>
        <v>8.2597505901884727E-4</v>
      </c>
      <c r="K126" s="2"/>
      <c r="L126" s="6">
        <f t="shared" si="62"/>
        <v>18332.02</v>
      </c>
      <c r="M126" s="2"/>
      <c r="N126" s="7">
        <f t="shared" si="63"/>
        <v>6.1045687645687643</v>
      </c>
      <c r="O126" s="11"/>
      <c r="P126" s="6">
        <v>29565.46</v>
      </c>
      <c r="Q126" s="2"/>
      <c r="R126" s="7">
        <f t="shared" si="64"/>
        <v>9.8792510659801661E-3</v>
      </c>
      <c r="S126" s="2"/>
      <c r="T126" s="6">
        <v>15982</v>
      </c>
      <c r="U126" s="2"/>
      <c r="V126" s="7">
        <f t="shared" si="65"/>
        <v>3.7217893744799636E-3</v>
      </c>
      <c r="W126" s="2"/>
      <c r="X126" s="6">
        <f t="shared" si="66"/>
        <v>13583.46</v>
      </c>
      <c r="Y126" s="2"/>
      <c r="Z126" s="7">
        <f t="shared" si="67"/>
        <v>0.84992241271430358</v>
      </c>
    </row>
    <row r="127" spans="1:26" s="28" customFormat="1" outlineLevel="1" collapsed="1" x14ac:dyDescent="0.3">
      <c r="A127" s="29"/>
      <c r="B127" s="14" t="str">
        <f>CONCATENATE("     ","Royalty &amp; Commissions                             ")</f>
        <v xml:space="preserve">     Royalty &amp; Commissions                             </v>
      </c>
      <c r="C127" s="14"/>
      <c r="D127" s="1">
        <f>SUM(OSRRefD22_19x_0)</f>
        <v>601.89</v>
      </c>
      <c r="E127" s="1"/>
      <c r="F127" s="5">
        <f t="shared" ref="F127:F131" si="68">IF(D$12=0,0,D127/D$12)</f>
        <v>2.4186537455555046E-4</v>
      </c>
      <c r="G127" s="1"/>
      <c r="H127" s="1">
        <f>SUM(OSRRefH22_19x_0)</f>
        <v>5485</v>
      </c>
      <c r="I127" s="1"/>
      <c r="J127" s="5">
        <f t="shared" ref="J127:J131" si="69">IF(H$12=0,0,H127/H$12)</f>
        <v>1.5086490838223034E-3</v>
      </c>
      <c r="K127" s="1"/>
      <c r="L127" s="1">
        <f t="shared" ref="L127:L131" si="70">+D127-H127</f>
        <v>-4883.1099999999997</v>
      </c>
      <c r="M127" s="1"/>
      <c r="N127" s="5">
        <f t="shared" ref="N127:N131" si="71">IF(H127=0,0,L127/H127)</f>
        <v>-0.89026618049225159</v>
      </c>
      <c r="O127" s="14"/>
      <c r="P127" s="1">
        <f>SUM(OSRRefP22_19x_0)</f>
        <v>7956.9900000000007</v>
      </c>
      <c r="Q127" s="1"/>
      <c r="R127" s="5">
        <f t="shared" ref="R127:R131" si="72">IF(P$12=0,0,P127/P$12)</f>
        <v>2.6588154535560592E-3</v>
      </c>
      <c r="S127" s="1"/>
      <c r="T127" s="1">
        <f>SUM(OSRRefT22_19x_0)</f>
        <v>17999</v>
      </c>
      <c r="U127" s="1"/>
      <c r="V127" s="5">
        <f t="shared" ref="V127:V131" si="73">IF(T$12=0,0,T127/T$12)</f>
        <v>4.1914958673047722E-3</v>
      </c>
      <c r="W127" s="1"/>
      <c r="X127" s="1">
        <f t="shared" ref="X127:X131" si="74">+P127-T127</f>
        <v>-10042.009999999998</v>
      </c>
      <c r="Y127" s="1"/>
      <c r="Z127" s="5">
        <f t="shared" ref="Z127:Z131" si="75">IF(T127=0,0,X127/T127)</f>
        <v>-0.55792044002444574</v>
      </c>
    </row>
    <row r="128" spans="1:26" s="24" customFormat="1" hidden="1" outlineLevel="2" x14ac:dyDescent="0.3">
      <c r="A128" s="27"/>
      <c r="B128" s="11" t="str">
        <f>CONCATENATE("          ", "6252", " - ", "ROYALTY DUE CSTV")</f>
        <v xml:space="preserve">          6252 - ROYALTY DUE CSTV</v>
      </c>
      <c r="C128" s="11"/>
      <c r="D128" s="6"/>
      <c r="E128" s="2"/>
      <c r="F128" s="7">
        <f t="shared" si="68"/>
        <v>0</v>
      </c>
      <c r="G128" s="2"/>
      <c r="H128" s="6">
        <v>2080</v>
      </c>
      <c r="I128" s="2"/>
      <c r="J128" s="7">
        <f t="shared" si="69"/>
        <v>5.7210393698275139E-4</v>
      </c>
      <c r="K128" s="2"/>
      <c r="L128" s="6">
        <f t="shared" si="70"/>
        <v>-2080</v>
      </c>
      <c r="M128" s="2"/>
      <c r="N128" s="7">
        <f t="shared" si="71"/>
        <v>-1</v>
      </c>
      <c r="O128" s="11"/>
      <c r="P128" s="6"/>
      <c r="Q128" s="2"/>
      <c r="R128" s="7">
        <f t="shared" si="72"/>
        <v>0</v>
      </c>
      <c r="S128" s="2"/>
      <c r="T128" s="6">
        <v>2922</v>
      </c>
      <c r="U128" s="2"/>
      <c r="V128" s="7">
        <f t="shared" si="73"/>
        <v>6.8045729897575104E-4</v>
      </c>
      <c r="W128" s="2"/>
      <c r="X128" s="6">
        <f t="shared" si="74"/>
        <v>-2922</v>
      </c>
      <c r="Y128" s="2"/>
      <c r="Z128" s="7">
        <f t="shared" si="75"/>
        <v>-1</v>
      </c>
    </row>
    <row r="129" spans="1:26" s="24" customFormat="1" hidden="1" outlineLevel="2" x14ac:dyDescent="0.3">
      <c r="A129" s="27"/>
      <c r="B129" s="11" t="str">
        <f>CONCATENATE("          ", "6253", " - ", "ROYALTY DUE ATHLETICS-LRG")</f>
        <v xml:space="preserve">          6253 - ROYALTY DUE ATHLETICS-LRG</v>
      </c>
      <c r="C129" s="11"/>
      <c r="D129" s="6"/>
      <c r="E129" s="2"/>
      <c r="F129" s="7">
        <f t="shared" si="68"/>
        <v>0</v>
      </c>
      <c r="G129" s="2"/>
      <c r="H129" s="6">
        <v>0</v>
      </c>
      <c r="I129" s="2"/>
      <c r="J129" s="7">
        <f t="shared" si="69"/>
        <v>0</v>
      </c>
      <c r="K129" s="2"/>
      <c r="L129" s="6">
        <f t="shared" si="70"/>
        <v>0</v>
      </c>
      <c r="M129" s="2"/>
      <c r="N129" s="7">
        <f t="shared" si="71"/>
        <v>0</v>
      </c>
      <c r="O129" s="11"/>
      <c r="P129" s="6">
        <v>14376.54</v>
      </c>
      <c r="Q129" s="2"/>
      <c r="R129" s="7">
        <f t="shared" si="72"/>
        <v>4.8038977956069854E-3</v>
      </c>
      <c r="S129" s="2"/>
      <c r="T129" s="6">
        <v>5672</v>
      </c>
      <c r="U129" s="2"/>
      <c r="V129" s="7">
        <f t="shared" si="73"/>
        <v>1.3208603010918755E-3</v>
      </c>
      <c r="W129" s="2"/>
      <c r="X129" s="6">
        <f t="shared" si="74"/>
        <v>8704.5400000000009</v>
      </c>
      <c r="Y129" s="2"/>
      <c r="Z129" s="7">
        <f t="shared" si="75"/>
        <v>1.5346509167842033</v>
      </c>
    </row>
    <row r="130" spans="1:26" s="24" customFormat="1" hidden="1" outlineLevel="2" x14ac:dyDescent="0.3">
      <c r="A130" s="27"/>
      <c r="B130" s="11" t="str">
        <f>CONCATENATE("          ", "6254", " - ", "ROYALTY &amp; COMMISSIONS")</f>
        <v xml:space="preserve">          6254 - ROYALTY &amp; COMMISSIONS</v>
      </c>
      <c r="C130" s="11"/>
      <c r="D130" s="6"/>
      <c r="E130" s="2"/>
      <c r="F130" s="7">
        <f t="shared" si="68"/>
        <v>0</v>
      </c>
      <c r="G130" s="2"/>
      <c r="H130" s="6">
        <v>0</v>
      </c>
      <c r="I130" s="2"/>
      <c r="J130" s="7">
        <f t="shared" si="69"/>
        <v>0</v>
      </c>
      <c r="K130" s="2"/>
      <c r="L130" s="6">
        <f t="shared" si="70"/>
        <v>0</v>
      </c>
      <c r="M130" s="2"/>
      <c r="N130" s="7">
        <f t="shared" si="71"/>
        <v>0</v>
      </c>
      <c r="O130" s="11"/>
      <c r="P130" s="6">
        <v>-7027.5</v>
      </c>
      <c r="Q130" s="2"/>
      <c r="R130" s="7">
        <f t="shared" si="72"/>
        <v>-2.3482278600155592E-3</v>
      </c>
      <c r="S130" s="2"/>
      <c r="T130" s="6">
        <v>0</v>
      </c>
      <c r="U130" s="2"/>
      <c r="V130" s="7">
        <f t="shared" si="73"/>
        <v>0</v>
      </c>
      <c r="W130" s="2"/>
      <c r="X130" s="6">
        <f t="shared" si="74"/>
        <v>-7027.5</v>
      </c>
      <c r="Y130" s="2"/>
      <c r="Z130" s="7">
        <f t="shared" si="75"/>
        <v>0</v>
      </c>
    </row>
    <row r="131" spans="1:26" s="24" customFormat="1" hidden="1" outlineLevel="2" x14ac:dyDescent="0.3">
      <c r="A131" s="27"/>
      <c r="B131" s="11" t="str">
        <f>CONCATENATE("          ", "6259", " - ", "ROYALTY &amp; COMMISSIONS")</f>
        <v xml:space="preserve">          6259 - ROYALTY &amp; COMMISSIONS</v>
      </c>
      <c r="C131" s="11"/>
      <c r="D131" s="6">
        <v>601.89</v>
      </c>
      <c r="E131" s="2"/>
      <c r="F131" s="7">
        <f t="shared" si="68"/>
        <v>2.4186537455555046E-4</v>
      </c>
      <c r="G131" s="2"/>
      <c r="H131" s="6">
        <v>3405</v>
      </c>
      <c r="I131" s="2"/>
      <c r="J131" s="7">
        <f t="shared" si="69"/>
        <v>9.3654514683955213E-4</v>
      </c>
      <c r="K131" s="2"/>
      <c r="L131" s="6">
        <f t="shared" si="70"/>
        <v>-2803.11</v>
      </c>
      <c r="M131" s="2"/>
      <c r="N131" s="7">
        <f t="shared" si="71"/>
        <v>-0.82323348017621145</v>
      </c>
      <c r="O131" s="11"/>
      <c r="P131" s="6">
        <v>607.95000000000005</v>
      </c>
      <c r="Q131" s="2"/>
      <c r="R131" s="7">
        <f t="shared" si="72"/>
        <v>2.0314551796463313E-4</v>
      </c>
      <c r="S131" s="2"/>
      <c r="T131" s="6">
        <v>9405</v>
      </c>
      <c r="U131" s="2"/>
      <c r="V131" s="7">
        <f t="shared" si="73"/>
        <v>2.1901782672371453E-3</v>
      </c>
      <c r="W131" s="2"/>
      <c r="X131" s="6">
        <f t="shared" si="74"/>
        <v>-8797.0499999999993</v>
      </c>
      <c r="Y131" s="2"/>
      <c r="Z131" s="7">
        <f t="shared" si="75"/>
        <v>-0.93535885167464106</v>
      </c>
    </row>
    <row r="132" spans="1:26" s="28" customFormat="1" outlineLevel="1" collapsed="1" x14ac:dyDescent="0.3">
      <c r="A132" s="29"/>
      <c r="B132" s="14" t="str">
        <f>CONCATENATE("     ","Services                                          ")</f>
        <v xml:space="preserve">     Services                                          </v>
      </c>
      <c r="C132" s="14"/>
      <c r="D132" s="1">
        <f>SUM(OSRRefD22_20x_0)</f>
        <v>50552.71</v>
      </c>
      <c r="E132" s="1"/>
      <c r="F132" s="5">
        <f t="shared" ref="F132:F137" si="76">IF(D$12=0,0,D132/D$12)</f>
        <v>2.0314260311598664E-2</v>
      </c>
      <c r="G132" s="1"/>
      <c r="H132" s="1">
        <f>SUM(OSRRefH22_20x_0)</f>
        <v>36998</v>
      </c>
      <c r="I132" s="1"/>
      <c r="J132" s="5">
        <f t="shared" ref="J132:J137" si="77">IF(H$12=0,0,H132/H$12)</f>
        <v>1.0176298779080689E-2</v>
      </c>
      <c r="K132" s="1"/>
      <c r="L132" s="1">
        <f t="shared" ref="L132:L137" si="78">+D132-H132</f>
        <v>13554.71</v>
      </c>
      <c r="M132" s="1"/>
      <c r="N132" s="5">
        <f t="shared" ref="N132:N137" si="79">IF(H132=0,0,L132/H132)</f>
        <v>0.36636331693605056</v>
      </c>
      <c r="O132" s="14"/>
      <c r="P132" s="1">
        <f>SUM(OSRRefP22_20x_0)</f>
        <v>72379.029999999984</v>
      </c>
      <c r="Q132" s="1"/>
      <c r="R132" s="5">
        <f t="shared" ref="R132:R137" si="80">IF(P$12=0,0,P132/P$12)</f>
        <v>2.4185336851924855E-2</v>
      </c>
      <c r="S132" s="1"/>
      <c r="T132" s="1">
        <f>SUM(OSRRefT22_20x_0)</f>
        <v>66959</v>
      </c>
      <c r="U132" s="1"/>
      <c r="V132" s="5">
        <f t="shared" ref="V132:V137" si="81">IF(T$12=0,0,T132/T$12)</f>
        <v>1.5592998043161299E-2</v>
      </c>
      <c r="W132" s="1"/>
      <c r="X132" s="1">
        <f t="shared" ref="X132:X137" si="82">+P132-T132</f>
        <v>5420.0299999999843</v>
      </c>
      <c r="Y132" s="1"/>
      <c r="Z132" s="5">
        <f t="shared" ref="Z132:Z137" si="83">IF(T132=0,0,X132/T132)</f>
        <v>8.0945503965112742E-2</v>
      </c>
    </row>
    <row r="133" spans="1:26" s="24" customFormat="1" hidden="1" outlineLevel="2" x14ac:dyDescent="0.3">
      <c r="A133" s="27"/>
      <c r="B133" s="11" t="str">
        <f>CONCATENATE("          ", "6282", " - ", "JANITORIAL/EXTERMINATOR EXPENS")</f>
        <v xml:space="preserve">          6282 - JANITORIAL/EXTERMINATOR EXPENS</v>
      </c>
      <c r="C133" s="11"/>
      <c r="D133" s="6">
        <v>2054.2399999999998</v>
      </c>
      <c r="E133" s="2"/>
      <c r="F133" s="7">
        <f t="shared" si="76"/>
        <v>8.2548227587598048E-4</v>
      </c>
      <c r="G133" s="2"/>
      <c r="H133" s="6">
        <v>7306</v>
      </c>
      <c r="I133" s="2"/>
      <c r="J133" s="7">
        <f t="shared" si="77"/>
        <v>2.0095150786519139E-3</v>
      </c>
      <c r="K133" s="2"/>
      <c r="L133" s="6">
        <f t="shared" si="78"/>
        <v>-5251.76</v>
      </c>
      <c r="M133" s="2"/>
      <c r="N133" s="7">
        <f t="shared" si="79"/>
        <v>-0.71882836025184782</v>
      </c>
      <c r="O133" s="11"/>
      <c r="P133" s="6">
        <v>4384.6899999999996</v>
      </c>
      <c r="Q133" s="2"/>
      <c r="R133" s="7">
        <f t="shared" si="80"/>
        <v>1.4651371349031124E-3</v>
      </c>
      <c r="S133" s="2"/>
      <c r="T133" s="6">
        <v>14154</v>
      </c>
      <c r="U133" s="2"/>
      <c r="V133" s="7">
        <f t="shared" si="81"/>
        <v>3.2960960334369543E-3</v>
      </c>
      <c r="W133" s="2"/>
      <c r="X133" s="6">
        <f t="shared" si="82"/>
        <v>-9769.3100000000013</v>
      </c>
      <c r="Y133" s="2"/>
      <c r="Z133" s="7">
        <f t="shared" si="83"/>
        <v>-0.69021548678818723</v>
      </c>
    </row>
    <row r="134" spans="1:26" s="24" customFormat="1" hidden="1" outlineLevel="2" x14ac:dyDescent="0.3">
      <c r="A134" s="27"/>
      <c r="B134" s="11" t="str">
        <f>CONCATENATE("          ", "6283", " - ", "PLANT SERVICE")</f>
        <v xml:space="preserve">          6283 - PLANT SERVICE</v>
      </c>
      <c r="C134" s="11"/>
      <c r="D134" s="6"/>
      <c r="E134" s="2"/>
      <c r="F134" s="7">
        <f t="shared" si="76"/>
        <v>0</v>
      </c>
      <c r="G134" s="2"/>
      <c r="H134" s="6">
        <v>100</v>
      </c>
      <c r="I134" s="2"/>
      <c r="J134" s="7">
        <f t="shared" si="77"/>
        <v>2.7504996970324584E-5</v>
      </c>
      <c r="K134" s="2"/>
      <c r="L134" s="6">
        <f t="shared" si="78"/>
        <v>-100</v>
      </c>
      <c r="M134" s="2"/>
      <c r="N134" s="7">
        <f t="shared" si="79"/>
        <v>-1</v>
      </c>
      <c r="O134" s="11"/>
      <c r="P134" s="6"/>
      <c r="Q134" s="2"/>
      <c r="R134" s="7">
        <f t="shared" si="80"/>
        <v>0</v>
      </c>
      <c r="S134" s="2"/>
      <c r="T134" s="6">
        <v>200</v>
      </c>
      <c r="U134" s="2"/>
      <c r="V134" s="7">
        <f t="shared" si="81"/>
        <v>4.6574763790263592E-5</v>
      </c>
      <c r="W134" s="2"/>
      <c r="X134" s="6">
        <f t="shared" si="82"/>
        <v>-200</v>
      </c>
      <c r="Y134" s="2"/>
      <c r="Z134" s="7">
        <f t="shared" si="83"/>
        <v>-1</v>
      </c>
    </row>
    <row r="135" spans="1:26" s="24" customFormat="1" hidden="1" outlineLevel="2" x14ac:dyDescent="0.3">
      <c r="A135" s="27"/>
      <c r="B135" s="11" t="str">
        <f>CONCATENATE("          ", "6284", " - ", "TRASH REMOVAL EXPENSE")</f>
        <v xml:space="preserve">          6284 - TRASH REMOVAL EXPENSE</v>
      </c>
      <c r="C135" s="11"/>
      <c r="D135" s="6">
        <v>149.69999999999999</v>
      </c>
      <c r="E135" s="2"/>
      <c r="F135" s="7">
        <f t="shared" si="76"/>
        <v>6.0155919804226521E-5</v>
      </c>
      <c r="G135" s="2"/>
      <c r="H135" s="6">
        <v>1660</v>
      </c>
      <c r="I135" s="2"/>
      <c r="J135" s="7">
        <f t="shared" si="77"/>
        <v>4.5658294970738806E-4</v>
      </c>
      <c r="K135" s="2"/>
      <c r="L135" s="6">
        <f t="shared" si="78"/>
        <v>-1510.3</v>
      </c>
      <c r="M135" s="2"/>
      <c r="N135" s="7">
        <f t="shared" si="79"/>
        <v>-0.90981927710843369</v>
      </c>
      <c r="O135" s="11"/>
      <c r="P135" s="6">
        <v>292.27</v>
      </c>
      <c r="Q135" s="2"/>
      <c r="R135" s="7">
        <f t="shared" si="80"/>
        <v>9.7661551995268232E-5</v>
      </c>
      <c r="S135" s="2"/>
      <c r="T135" s="6">
        <v>3320</v>
      </c>
      <c r="U135" s="2"/>
      <c r="V135" s="7">
        <f t="shared" si="81"/>
        <v>7.7314107891837561E-4</v>
      </c>
      <c r="W135" s="2"/>
      <c r="X135" s="6">
        <f t="shared" si="82"/>
        <v>-3027.73</v>
      </c>
      <c r="Y135" s="2"/>
      <c r="Z135" s="7">
        <f t="shared" si="83"/>
        <v>-0.91196686746987954</v>
      </c>
    </row>
    <row r="136" spans="1:26" s="24" customFormat="1" hidden="1" outlineLevel="2" x14ac:dyDescent="0.3">
      <c r="A136" s="27"/>
      <c r="B136" s="11" t="str">
        <f>CONCATENATE("          ", "6285", " - ", "JANITORIAL SERVICES")</f>
        <v xml:space="preserve">          6285 - JANITORIAL SERVICES</v>
      </c>
      <c r="C136" s="11"/>
      <c r="D136" s="6">
        <v>45794.2</v>
      </c>
      <c r="E136" s="2"/>
      <c r="F136" s="7">
        <f t="shared" si="76"/>
        <v>1.840208565597001E-2</v>
      </c>
      <c r="G136" s="2"/>
      <c r="H136" s="6">
        <v>22559</v>
      </c>
      <c r="I136" s="2"/>
      <c r="J136" s="7">
        <f t="shared" si="77"/>
        <v>6.2048522665355231E-3</v>
      </c>
      <c r="K136" s="2"/>
      <c r="L136" s="6">
        <f t="shared" si="78"/>
        <v>23235.199999999997</v>
      </c>
      <c r="M136" s="2"/>
      <c r="N136" s="7">
        <f t="shared" si="79"/>
        <v>1.0299747329225586</v>
      </c>
      <c r="O136" s="11"/>
      <c r="P136" s="6">
        <v>64064.53</v>
      </c>
      <c r="Q136" s="2"/>
      <c r="R136" s="7">
        <f t="shared" si="80"/>
        <v>2.1407060004952343E-2</v>
      </c>
      <c r="S136" s="2"/>
      <c r="T136" s="6">
        <v>39935</v>
      </c>
      <c r="U136" s="2"/>
      <c r="V136" s="7">
        <f t="shared" si="81"/>
        <v>9.299815959820882E-3</v>
      </c>
      <c r="W136" s="2"/>
      <c r="X136" s="6">
        <f t="shared" si="82"/>
        <v>24129.53</v>
      </c>
      <c r="Y136" s="2"/>
      <c r="Z136" s="7">
        <f t="shared" si="83"/>
        <v>0.60422010767497181</v>
      </c>
    </row>
    <row r="137" spans="1:26" s="24" customFormat="1" hidden="1" outlineLevel="2" x14ac:dyDescent="0.3">
      <c r="A137" s="27"/>
      <c r="B137" s="11" t="str">
        <f>CONCATENATE("          ", "6286", " - ", "LAUNDRY EXPENSE")</f>
        <v xml:space="preserve">          6286 - LAUNDRY EXPENSE</v>
      </c>
      <c r="C137" s="11"/>
      <c r="D137" s="6">
        <v>2554.5700000000002</v>
      </c>
      <c r="E137" s="2"/>
      <c r="F137" s="7">
        <f t="shared" si="76"/>
        <v>1.02653645994845E-3</v>
      </c>
      <c r="G137" s="2"/>
      <c r="H137" s="6">
        <v>5373</v>
      </c>
      <c r="I137" s="2"/>
      <c r="J137" s="7">
        <f t="shared" si="77"/>
        <v>1.4778434872155398E-3</v>
      </c>
      <c r="K137" s="2"/>
      <c r="L137" s="6">
        <f t="shared" si="78"/>
        <v>-2818.43</v>
      </c>
      <c r="M137" s="2"/>
      <c r="N137" s="7">
        <f t="shared" si="79"/>
        <v>-0.52455425274520751</v>
      </c>
      <c r="O137" s="11"/>
      <c r="P137" s="6">
        <v>3637.54</v>
      </c>
      <c r="Q137" s="2"/>
      <c r="R137" s="7">
        <f t="shared" si="80"/>
        <v>1.215478160074137E-3</v>
      </c>
      <c r="S137" s="2"/>
      <c r="T137" s="6">
        <v>9350</v>
      </c>
      <c r="U137" s="2"/>
      <c r="V137" s="7">
        <f t="shared" si="81"/>
        <v>2.177370207194823E-3</v>
      </c>
      <c r="W137" s="2"/>
      <c r="X137" s="6">
        <f t="shared" si="82"/>
        <v>-5712.46</v>
      </c>
      <c r="Y137" s="2"/>
      <c r="Z137" s="7">
        <f t="shared" si="83"/>
        <v>-0.61095828877005343</v>
      </c>
    </row>
    <row r="138" spans="1:26" s="28" customFormat="1" outlineLevel="1" collapsed="1" x14ac:dyDescent="0.3">
      <c r="A138" s="29"/>
      <c r="B138" s="14" t="str">
        <f>CONCATENATE("     ","Subscriptions &amp; Dues                              ")</f>
        <v xml:space="preserve">     Subscriptions &amp; Dues                              </v>
      </c>
      <c r="C138" s="14"/>
      <c r="D138" s="1">
        <f>SUM(OSRRefD22_21x_0)</f>
        <v>650.59</v>
      </c>
      <c r="E138" s="1"/>
      <c r="F138" s="5">
        <f t="shared" ref="F138:F140" si="84">IF(D$12=0,0,D138/D$12)</f>
        <v>2.6143513604162818E-4</v>
      </c>
      <c r="G138" s="1"/>
      <c r="H138" s="1">
        <f>SUM(OSRRefH22_21x_0)</f>
        <v>2056</v>
      </c>
      <c r="I138" s="1"/>
      <c r="J138" s="5">
        <f t="shared" ref="J138:J140" si="85">IF(H$12=0,0,H138/H$12)</f>
        <v>5.6550273770987339E-4</v>
      </c>
      <c r="K138" s="1"/>
      <c r="L138" s="1">
        <f t="shared" ref="L138:L140" si="86">+D138-H138</f>
        <v>-1405.4099999999999</v>
      </c>
      <c r="M138" s="1"/>
      <c r="N138" s="5">
        <f t="shared" ref="N138:N140" si="87">IF(H138=0,0,L138/H138)</f>
        <v>-0.68356517509727621</v>
      </c>
      <c r="O138" s="14"/>
      <c r="P138" s="1">
        <f>SUM(OSRRefP22_21x_0)</f>
        <v>849.57999999999993</v>
      </c>
      <c r="Q138" s="1"/>
      <c r="R138" s="5">
        <f t="shared" ref="R138:R140" si="88">IF(P$12=0,0,P138/P$12)</f>
        <v>2.838857951351147E-4</v>
      </c>
      <c r="S138" s="1"/>
      <c r="T138" s="1">
        <f>SUM(OSRRefT22_21x_0)</f>
        <v>4297</v>
      </c>
      <c r="U138" s="1"/>
      <c r="V138" s="5">
        <f t="shared" ref="V138:V140" si="89">IF(T$12=0,0,T138/T$12)</f>
        <v>1.0006588000338133E-3</v>
      </c>
      <c r="W138" s="1"/>
      <c r="X138" s="1">
        <f t="shared" ref="X138:X140" si="90">+P138-T138</f>
        <v>-3447.42</v>
      </c>
      <c r="Y138" s="1"/>
      <c r="Z138" s="5">
        <f t="shared" ref="Z138:Z140" si="91">IF(T138=0,0,X138/T138)</f>
        <v>-0.80228531533628111</v>
      </c>
    </row>
    <row r="139" spans="1:26" s="24" customFormat="1" hidden="1" outlineLevel="2" x14ac:dyDescent="0.3">
      <c r="A139" s="27"/>
      <c r="B139" s="11" t="str">
        <f>CONCATENATE("          ", "6258", " - ", "MEMBERSHIP DUES")</f>
        <v xml:space="preserve">          6258 - MEMBERSHIP DUES</v>
      </c>
      <c r="C139" s="11"/>
      <c r="D139" s="6">
        <v>57</v>
      </c>
      <c r="E139" s="2"/>
      <c r="F139" s="7">
        <f t="shared" si="84"/>
        <v>2.2905059644895873E-5</v>
      </c>
      <c r="G139" s="2"/>
      <c r="H139" s="6">
        <v>1385</v>
      </c>
      <c r="I139" s="2"/>
      <c r="J139" s="7">
        <f t="shared" si="85"/>
        <v>3.8094420803899546E-4</v>
      </c>
      <c r="K139" s="2"/>
      <c r="L139" s="6">
        <f t="shared" si="86"/>
        <v>-1328</v>
      </c>
      <c r="M139" s="2"/>
      <c r="N139" s="7">
        <f t="shared" si="87"/>
        <v>-0.95884476534296026</v>
      </c>
      <c r="O139" s="11"/>
      <c r="P139" s="6">
        <v>125.32</v>
      </c>
      <c r="Q139" s="2"/>
      <c r="R139" s="7">
        <f t="shared" si="88"/>
        <v>4.1875477113788671E-5</v>
      </c>
      <c r="S139" s="2"/>
      <c r="T139" s="6">
        <v>3165</v>
      </c>
      <c r="U139" s="2"/>
      <c r="V139" s="7">
        <f t="shared" si="89"/>
        <v>7.3704563698092133E-4</v>
      </c>
      <c r="W139" s="2"/>
      <c r="X139" s="6">
        <f t="shared" si="90"/>
        <v>-3039.68</v>
      </c>
      <c r="Y139" s="2"/>
      <c r="Z139" s="7">
        <f t="shared" si="91"/>
        <v>-0.96040442338072662</v>
      </c>
    </row>
    <row r="140" spans="1:26" s="24" customFormat="1" hidden="1" outlineLevel="2" x14ac:dyDescent="0.3">
      <c r="A140" s="27"/>
      <c r="B140" s="11" t="str">
        <f>CONCATENATE("          ", "6275", " - ", "SUBSCRIPTIONS")</f>
        <v xml:space="preserve">          6275 - SUBSCRIPTIONS</v>
      </c>
      <c r="C140" s="11"/>
      <c r="D140" s="6">
        <v>593.59</v>
      </c>
      <c r="E140" s="2"/>
      <c r="F140" s="7">
        <f t="shared" si="84"/>
        <v>2.3853007639673229E-4</v>
      </c>
      <c r="G140" s="2"/>
      <c r="H140" s="6">
        <v>671</v>
      </c>
      <c r="I140" s="2"/>
      <c r="J140" s="7">
        <f t="shared" si="85"/>
        <v>1.8455852967087796E-4</v>
      </c>
      <c r="K140" s="2"/>
      <c r="L140" s="6">
        <f t="shared" si="86"/>
        <v>-77.409999999999968</v>
      </c>
      <c r="M140" s="2"/>
      <c r="N140" s="7">
        <f t="shared" si="87"/>
        <v>-0.11536512667660204</v>
      </c>
      <c r="O140" s="11"/>
      <c r="P140" s="6">
        <v>724.26</v>
      </c>
      <c r="Q140" s="2"/>
      <c r="R140" s="7">
        <f t="shared" si="88"/>
        <v>2.4201031802132607E-4</v>
      </c>
      <c r="S140" s="2"/>
      <c r="T140" s="6">
        <v>1132</v>
      </c>
      <c r="U140" s="2"/>
      <c r="V140" s="7">
        <f t="shared" si="89"/>
        <v>2.6361316305289193E-4</v>
      </c>
      <c r="W140" s="2"/>
      <c r="X140" s="6">
        <f t="shared" si="90"/>
        <v>-407.74</v>
      </c>
      <c r="Y140" s="2"/>
      <c r="Z140" s="7">
        <f t="shared" si="91"/>
        <v>-0.36019434628975266</v>
      </c>
    </row>
    <row r="141" spans="1:26" s="28" customFormat="1" outlineLevel="1" collapsed="1" x14ac:dyDescent="0.3">
      <c r="A141" s="29"/>
      <c r="B141" s="14" t="str">
        <f>CONCATENATE("     ","Supplies                                          ")</f>
        <v xml:space="preserve">     Supplies                                          </v>
      </c>
      <c r="C141" s="14"/>
      <c r="D141" s="1">
        <f>SUM(OSRRefD22_22x_0)</f>
        <v>44678.270000000004</v>
      </c>
      <c r="E141" s="1"/>
      <c r="F141" s="5">
        <f t="shared" ref="F141:F151" si="92">IF(D$12=0,0,D141/D$12)</f>
        <v>1.7953656827732666E-2</v>
      </c>
      <c r="G141" s="1"/>
      <c r="H141" s="1">
        <f>SUM(OSRRefH22_22x_0)</f>
        <v>56799</v>
      </c>
      <c r="I141" s="1"/>
      <c r="J141" s="5">
        <f t="shared" ref="J141:J151" si="93">IF(H$12=0,0,H141/H$12)</f>
        <v>1.5622563229174661E-2</v>
      </c>
      <c r="K141" s="1"/>
      <c r="L141" s="1">
        <f t="shared" ref="L141:L151" si="94">+D141-H141</f>
        <v>-12120.729999999996</v>
      </c>
      <c r="M141" s="1"/>
      <c r="N141" s="5">
        <f t="shared" ref="N141:N151" si="95">IF(H141=0,0,L141/H141)</f>
        <v>-0.21339689079033075</v>
      </c>
      <c r="O141" s="14"/>
      <c r="P141" s="1">
        <f>SUM(OSRRefP22_22x_0)</f>
        <v>61216.47</v>
      </c>
      <c r="Q141" s="1"/>
      <c r="R141" s="5">
        <f t="shared" ref="R141:R151" si="96">IF(P$12=0,0,P141/P$12)</f>
        <v>2.0455385321352784E-2</v>
      </c>
      <c r="S141" s="1"/>
      <c r="T141" s="1">
        <f>SUM(OSRRefT22_22x_0)</f>
        <v>113748</v>
      </c>
      <c r="U141" s="1"/>
      <c r="V141" s="5">
        <f t="shared" ref="V141:V151" si="97">IF(T$12=0,0,T141/T$12)</f>
        <v>2.6488931158074516E-2</v>
      </c>
      <c r="W141" s="1"/>
      <c r="X141" s="1">
        <f t="shared" ref="X141:X151" si="98">+P141-T141</f>
        <v>-52531.53</v>
      </c>
      <c r="Y141" s="1"/>
      <c r="Z141" s="5">
        <f t="shared" ref="Z141:Z151" si="99">IF(T141=0,0,X141/T141)</f>
        <v>-0.46182376832999261</v>
      </c>
    </row>
    <row r="142" spans="1:26" s="24" customFormat="1" hidden="1" outlineLevel="2" x14ac:dyDescent="0.3">
      <c r="A142" s="27"/>
      <c r="B142" s="11" t="str">
        <f>CONCATENATE("          ", "6234", " - ", "EXPENDABLE SUPPLIES &amp; EQUIPMEN")</f>
        <v xml:space="preserve">          6234 - EXPENDABLE SUPPLIES &amp; EQUIPMEN</v>
      </c>
      <c r="C142" s="11"/>
      <c r="D142" s="6"/>
      <c r="E142" s="2"/>
      <c r="F142" s="7">
        <f t="shared" si="92"/>
        <v>0</v>
      </c>
      <c r="G142" s="2"/>
      <c r="H142" s="6">
        <v>6342</v>
      </c>
      <c r="I142" s="2"/>
      <c r="J142" s="7">
        <f t="shared" si="93"/>
        <v>1.7443669078579852E-3</v>
      </c>
      <c r="K142" s="2"/>
      <c r="L142" s="6">
        <f t="shared" si="94"/>
        <v>-6342</v>
      </c>
      <c r="M142" s="2"/>
      <c r="N142" s="7">
        <f t="shared" si="95"/>
        <v>-1</v>
      </c>
      <c r="O142" s="11"/>
      <c r="P142" s="6"/>
      <c r="Q142" s="2"/>
      <c r="R142" s="7">
        <f t="shared" si="96"/>
        <v>0</v>
      </c>
      <c r="S142" s="2"/>
      <c r="T142" s="6">
        <v>12484</v>
      </c>
      <c r="U142" s="2"/>
      <c r="V142" s="7">
        <f t="shared" si="97"/>
        <v>2.9071967557882535E-3</v>
      </c>
      <c r="W142" s="2"/>
      <c r="X142" s="6">
        <f t="shared" si="98"/>
        <v>-12484</v>
      </c>
      <c r="Y142" s="2"/>
      <c r="Z142" s="7">
        <f t="shared" si="99"/>
        <v>-1</v>
      </c>
    </row>
    <row r="143" spans="1:26" s="24" customFormat="1" hidden="1" outlineLevel="2" x14ac:dyDescent="0.3">
      <c r="A143" s="27"/>
      <c r="B143" s="11" t="str">
        <f>CONCATENATE("          ", "6235", " - ", "COVID-19 EXPENSES")</f>
        <v xml:space="preserve">          6235 - COVID-19 EXPENSES</v>
      </c>
      <c r="C143" s="11"/>
      <c r="D143" s="6">
        <v>2695.61</v>
      </c>
      <c r="E143" s="2"/>
      <c r="F143" s="7">
        <f t="shared" si="92"/>
        <v>1.0832124180592589E-3</v>
      </c>
      <c r="G143" s="2"/>
      <c r="H143" s="6">
        <v>375</v>
      </c>
      <c r="I143" s="2"/>
      <c r="J143" s="7">
        <f t="shared" si="93"/>
        <v>1.0314373863871719E-4</v>
      </c>
      <c r="K143" s="2"/>
      <c r="L143" s="6">
        <f t="shared" si="94"/>
        <v>2320.61</v>
      </c>
      <c r="M143" s="2"/>
      <c r="N143" s="7">
        <f t="shared" si="95"/>
        <v>6.1882933333333341</v>
      </c>
      <c r="O143" s="11"/>
      <c r="P143" s="6">
        <v>2967.83</v>
      </c>
      <c r="Q143" s="2"/>
      <c r="R143" s="7">
        <f t="shared" si="96"/>
        <v>9.9169563710992201E-4</v>
      </c>
      <c r="S143" s="2"/>
      <c r="T143" s="6">
        <v>1000</v>
      </c>
      <c r="U143" s="2"/>
      <c r="V143" s="7">
        <f t="shared" si="97"/>
        <v>2.3287381895131795E-4</v>
      </c>
      <c r="W143" s="2"/>
      <c r="X143" s="6">
        <f t="shared" si="98"/>
        <v>1967.83</v>
      </c>
      <c r="Y143" s="2"/>
      <c r="Z143" s="7">
        <f t="shared" si="99"/>
        <v>1.96783</v>
      </c>
    </row>
    <row r="144" spans="1:26" s="24" customFormat="1" hidden="1" outlineLevel="2" x14ac:dyDescent="0.3">
      <c r="A144" s="27"/>
      <c r="B144" s="11" t="str">
        <f>CONCATENATE("          ", "6237", " - ", "JANITORIAL SUPPLIES")</f>
        <v xml:space="preserve">          6237 - JANITORIAL SUPPLIES</v>
      </c>
      <c r="C144" s="11"/>
      <c r="D144" s="6">
        <v>5053.05</v>
      </c>
      <c r="E144" s="2"/>
      <c r="F144" s="7">
        <f t="shared" si="92"/>
        <v>2.0305335375200191E-3</v>
      </c>
      <c r="G144" s="2"/>
      <c r="H144" s="6">
        <v>12604</v>
      </c>
      <c r="I144" s="2"/>
      <c r="J144" s="7">
        <f t="shared" si="93"/>
        <v>3.4667298181397105E-3</v>
      </c>
      <c r="K144" s="2"/>
      <c r="L144" s="6">
        <f t="shared" si="94"/>
        <v>-7550.95</v>
      </c>
      <c r="M144" s="2"/>
      <c r="N144" s="7">
        <f t="shared" si="95"/>
        <v>-0.59909155823548077</v>
      </c>
      <c r="O144" s="11"/>
      <c r="P144" s="6">
        <v>10413.14</v>
      </c>
      <c r="Q144" s="2"/>
      <c r="R144" s="7">
        <f t="shared" si="96"/>
        <v>3.4795340388818811E-3</v>
      </c>
      <c r="S144" s="2"/>
      <c r="T144" s="6">
        <v>24177</v>
      </c>
      <c r="U144" s="2"/>
      <c r="V144" s="7">
        <f t="shared" si="97"/>
        <v>5.6301903207860143E-3</v>
      </c>
      <c r="W144" s="2"/>
      <c r="X144" s="6">
        <f t="shared" si="98"/>
        <v>-13763.86</v>
      </c>
      <c r="Y144" s="2"/>
      <c r="Z144" s="7">
        <f t="shared" si="99"/>
        <v>-0.569295611531621</v>
      </c>
    </row>
    <row r="145" spans="1:26" s="24" customFormat="1" hidden="1" outlineLevel="2" x14ac:dyDescent="0.3">
      <c r="A145" s="27"/>
      <c r="B145" s="11" t="str">
        <f>CONCATENATE("          ", "6239", " - ", "KITCHEN SUPPLIES")</f>
        <v xml:space="preserve">          6239 - KITCHEN SUPPLIES</v>
      </c>
      <c r="C145" s="11"/>
      <c r="D145" s="6">
        <v>3069.8</v>
      </c>
      <c r="E145" s="2"/>
      <c r="F145" s="7">
        <f t="shared" si="92"/>
        <v>1.2335781069807254E-3</v>
      </c>
      <c r="G145" s="2"/>
      <c r="H145" s="6">
        <v>6373</v>
      </c>
      <c r="I145" s="2"/>
      <c r="J145" s="7">
        <f t="shared" si="93"/>
        <v>1.7528934569187857E-3</v>
      </c>
      <c r="K145" s="2"/>
      <c r="L145" s="6">
        <f t="shared" si="94"/>
        <v>-3303.2</v>
      </c>
      <c r="M145" s="2"/>
      <c r="N145" s="7">
        <f t="shared" si="95"/>
        <v>-0.51831162717715362</v>
      </c>
      <c r="O145" s="11"/>
      <c r="P145" s="6">
        <v>3101.83</v>
      </c>
      <c r="Q145" s="2"/>
      <c r="R145" s="7">
        <f t="shared" si="96"/>
        <v>1.036471522309792E-3</v>
      </c>
      <c r="S145" s="2"/>
      <c r="T145" s="6">
        <v>17836</v>
      </c>
      <c r="U145" s="2"/>
      <c r="V145" s="7">
        <f t="shared" si="97"/>
        <v>4.1535374348157074E-3</v>
      </c>
      <c r="W145" s="2"/>
      <c r="X145" s="6">
        <f t="shared" si="98"/>
        <v>-14734.17</v>
      </c>
      <c r="Y145" s="2"/>
      <c r="Z145" s="7">
        <f t="shared" si="99"/>
        <v>-0.82609161246916352</v>
      </c>
    </row>
    <row r="146" spans="1:26" s="24" customFormat="1" hidden="1" outlineLevel="2" x14ac:dyDescent="0.3">
      <c r="A146" s="27"/>
      <c r="B146" s="11" t="str">
        <f>CONCATENATE("          ", "6241", " - ", "OFFICE EXPENSE")</f>
        <v xml:space="preserve">          6241 - OFFICE EXPENSE</v>
      </c>
      <c r="C146" s="11"/>
      <c r="D146" s="6">
        <v>11881.58</v>
      </c>
      <c r="E146" s="2"/>
      <c r="F146" s="7">
        <f t="shared" si="92"/>
        <v>4.7745315539579275E-3</v>
      </c>
      <c r="G146" s="2"/>
      <c r="H146" s="6">
        <v>4875</v>
      </c>
      <c r="I146" s="2"/>
      <c r="J146" s="7">
        <f t="shared" si="93"/>
        <v>1.3408686023033234E-3</v>
      </c>
      <c r="K146" s="2"/>
      <c r="L146" s="6">
        <f t="shared" si="94"/>
        <v>7006.58</v>
      </c>
      <c r="M146" s="2"/>
      <c r="N146" s="7">
        <f t="shared" si="95"/>
        <v>1.4372471794871795</v>
      </c>
      <c r="O146" s="11"/>
      <c r="P146" s="6">
        <v>13742.23</v>
      </c>
      <c r="Q146" s="2"/>
      <c r="R146" s="7">
        <f t="shared" si="96"/>
        <v>4.5919441258970642E-3</v>
      </c>
      <c r="S146" s="2"/>
      <c r="T146" s="6">
        <v>6944</v>
      </c>
      <c r="U146" s="2"/>
      <c r="V146" s="7">
        <f t="shared" si="97"/>
        <v>1.617075798797952E-3</v>
      </c>
      <c r="W146" s="2"/>
      <c r="X146" s="6">
        <f t="shared" si="98"/>
        <v>6798.23</v>
      </c>
      <c r="Y146" s="2"/>
      <c r="Z146" s="7">
        <f t="shared" si="99"/>
        <v>0.97900777649769577</v>
      </c>
    </row>
    <row r="147" spans="1:26" s="24" customFormat="1" hidden="1" outlineLevel="2" x14ac:dyDescent="0.3">
      <c r="A147" s="27"/>
      <c r="B147" s="11" t="str">
        <f>CONCATENATE("          ", "6243", " - ", "PAPER SUPPLIES")</f>
        <v xml:space="preserve">          6243 - PAPER SUPPLIES</v>
      </c>
      <c r="C147" s="11"/>
      <c r="D147" s="6">
        <v>16472.22</v>
      </c>
      <c r="E147" s="2"/>
      <c r="F147" s="7">
        <f t="shared" si="92"/>
        <v>6.6192487997166084E-3</v>
      </c>
      <c r="G147" s="2"/>
      <c r="H147" s="6">
        <v>15701</v>
      </c>
      <c r="I147" s="2"/>
      <c r="J147" s="7">
        <f t="shared" si="93"/>
        <v>4.3185595743106629E-3</v>
      </c>
      <c r="K147" s="2"/>
      <c r="L147" s="6">
        <f t="shared" si="94"/>
        <v>771.22000000000116</v>
      </c>
      <c r="M147" s="2"/>
      <c r="N147" s="7">
        <f t="shared" si="95"/>
        <v>4.9119164384434186E-2</v>
      </c>
      <c r="O147" s="11"/>
      <c r="P147" s="6">
        <v>19349.91</v>
      </c>
      <c r="Q147" s="2"/>
      <c r="R147" s="7">
        <f t="shared" si="96"/>
        <v>6.465741408864272E-3</v>
      </c>
      <c r="S147" s="2"/>
      <c r="T147" s="6">
        <v>31710</v>
      </c>
      <c r="U147" s="2"/>
      <c r="V147" s="7">
        <f t="shared" si="97"/>
        <v>7.384428798946293E-3</v>
      </c>
      <c r="W147" s="2"/>
      <c r="X147" s="6">
        <f t="shared" si="98"/>
        <v>-12360.09</v>
      </c>
      <c r="Y147" s="2"/>
      <c r="Z147" s="7">
        <f t="shared" si="99"/>
        <v>-0.38978524124881742</v>
      </c>
    </row>
    <row r="148" spans="1:26" s="24" customFormat="1" hidden="1" outlineLevel="2" x14ac:dyDescent="0.3">
      <c r="A148" s="27"/>
      <c r="B148" s="11" t="str">
        <f>CONCATENATE("          ", "6244", " - ", "SAFETY SUPPLY EXPENSE")</f>
        <v xml:space="preserve">          6244 - SAFETY SUPPLY EXPENSE</v>
      </c>
      <c r="C148" s="11"/>
      <c r="D148" s="6"/>
      <c r="E148" s="2"/>
      <c r="F148" s="7">
        <f t="shared" si="92"/>
        <v>0</v>
      </c>
      <c r="G148" s="2"/>
      <c r="H148" s="6">
        <v>525</v>
      </c>
      <c r="I148" s="2"/>
      <c r="J148" s="7">
        <f t="shared" si="93"/>
        <v>1.4440123409420407E-4</v>
      </c>
      <c r="K148" s="2"/>
      <c r="L148" s="6">
        <f t="shared" si="94"/>
        <v>-525</v>
      </c>
      <c r="M148" s="2"/>
      <c r="N148" s="7">
        <f t="shared" si="95"/>
        <v>-1</v>
      </c>
      <c r="O148" s="11"/>
      <c r="P148" s="6"/>
      <c r="Q148" s="2"/>
      <c r="R148" s="7">
        <f t="shared" si="96"/>
        <v>0</v>
      </c>
      <c r="S148" s="2"/>
      <c r="T148" s="6">
        <v>1100</v>
      </c>
      <c r="U148" s="2"/>
      <c r="V148" s="7">
        <f t="shared" si="97"/>
        <v>2.5616120084644974E-4</v>
      </c>
      <c r="W148" s="2"/>
      <c r="X148" s="6">
        <f t="shared" si="98"/>
        <v>-1100</v>
      </c>
      <c r="Y148" s="2"/>
      <c r="Z148" s="7">
        <f t="shared" si="99"/>
        <v>-1</v>
      </c>
    </row>
    <row r="149" spans="1:26" s="24" customFormat="1" hidden="1" outlineLevel="2" x14ac:dyDescent="0.3">
      <c r="A149" s="27"/>
      <c r="B149" s="11" t="str">
        <f>CONCATENATE("          ", "6245", " - ", "PRINTING")</f>
        <v xml:space="preserve">          6245 - PRINTING</v>
      </c>
      <c r="C149" s="11"/>
      <c r="D149" s="6">
        <v>-851.82</v>
      </c>
      <c r="E149" s="2"/>
      <c r="F149" s="7">
        <f t="shared" si="92"/>
        <v>-3.4229803345114392E-4</v>
      </c>
      <c r="G149" s="2"/>
      <c r="H149" s="6">
        <v>330</v>
      </c>
      <c r="I149" s="2"/>
      <c r="J149" s="7">
        <f t="shared" si="93"/>
        <v>9.0766490002071123E-5</v>
      </c>
      <c r="K149" s="2"/>
      <c r="L149" s="6">
        <f t="shared" si="94"/>
        <v>-1181.8200000000002</v>
      </c>
      <c r="M149" s="2"/>
      <c r="N149" s="7">
        <f t="shared" si="95"/>
        <v>-3.5812727272727276</v>
      </c>
      <c r="O149" s="11"/>
      <c r="P149" s="6">
        <v>-600.17999999999995</v>
      </c>
      <c r="Q149" s="2"/>
      <c r="R149" s="7">
        <f t="shared" si="96"/>
        <v>-2.0054918491983469E-4</v>
      </c>
      <c r="S149" s="2"/>
      <c r="T149" s="6">
        <v>755</v>
      </c>
      <c r="U149" s="2"/>
      <c r="V149" s="7">
        <f t="shared" si="97"/>
        <v>1.7581973330824506E-4</v>
      </c>
      <c r="W149" s="2"/>
      <c r="X149" s="6">
        <f t="shared" si="98"/>
        <v>-1355.1799999999998</v>
      </c>
      <c r="Y149" s="2"/>
      <c r="Z149" s="7">
        <f t="shared" si="99"/>
        <v>-1.7949403973509932</v>
      </c>
    </row>
    <row r="150" spans="1:26" s="24" customFormat="1" hidden="1" outlineLevel="2" x14ac:dyDescent="0.3">
      <c r="A150" s="27"/>
      <c r="B150" s="11" t="str">
        <f>CONCATENATE("          ", "6247", " - ", "STORE SUPPLIES")</f>
        <v xml:space="preserve">          6247 - STORE SUPPLIES</v>
      </c>
      <c r="C150" s="11"/>
      <c r="D150" s="6">
        <v>6357.83</v>
      </c>
      <c r="E150" s="2"/>
      <c r="F150" s="7">
        <f t="shared" si="92"/>
        <v>2.5548504449492688E-3</v>
      </c>
      <c r="G150" s="2"/>
      <c r="H150" s="6">
        <v>8086</v>
      </c>
      <c r="I150" s="2"/>
      <c r="J150" s="7">
        <f t="shared" si="93"/>
        <v>2.2240540550204457E-3</v>
      </c>
      <c r="K150" s="2"/>
      <c r="L150" s="6">
        <f t="shared" si="94"/>
        <v>-1728.17</v>
      </c>
      <c r="M150" s="2"/>
      <c r="N150" s="7">
        <f t="shared" si="95"/>
        <v>-0.21372372000989365</v>
      </c>
      <c r="O150" s="11"/>
      <c r="P150" s="6">
        <v>12241.71</v>
      </c>
      <c r="Q150" s="2"/>
      <c r="R150" s="7">
        <f t="shared" si="96"/>
        <v>4.0905477732096863E-3</v>
      </c>
      <c r="S150" s="2"/>
      <c r="T150" s="6">
        <v>13966</v>
      </c>
      <c r="U150" s="2"/>
      <c r="V150" s="7">
        <f t="shared" si="97"/>
        <v>3.2523157554741064E-3</v>
      </c>
      <c r="W150" s="2"/>
      <c r="X150" s="6">
        <f t="shared" si="98"/>
        <v>-1724.2900000000009</v>
      </c>
      <c r="Y150" s="2"/>
      <c r="Z150" s="7">
        <f t="shared" si="99"/>
        <v>-0.12346341114134332</v>
      </c>
    </row>
    <row r="151" spans="1:26" s="24" customFormat="1" hidden="1" outlineLevel="2" x14ac:dyDescent="0.3">
      <c r="A151" s="27"/>
      <c r="B151" s="11" t="str">
        <f>CONCATENATE("          ", "6248", " - ", "UNIFORMS")</f>
        <v xml:space="preserve">          6248 - UNIFORMS</v>
      </c>
      <c r="C151" s="11"/>
      <c r="D151" s="6"/>
      <c r="E151" s="2"/>
      <c r="F151" s="7">
        <f t="shared" si="92"/>
        <v>0</v>
      </c>
      <c r="G151" s="2"/>
      <c r="H151" s="6">
        <v>1588</v>
      </c>
      <c r="I151" s="2"/>
      <c r="J151" s="7">
        <f t="shared" si="93"/>
        <v>4.367793518887544E-4</v>
      </c>
      <c r="K151" s="2"/>
      <c r="L151" s="6">
        <f t="shared" si="94"/>
        <v>-1588</v>
      </c>
      <c r="M151" s="2"/>
      <c r="N151" s="7">
        <f t="shared" si="95"/>
        <v>-1</v>
      </c>
      <c r="O151" s="11"/>
      <c r="P151" s="6"/>
      <c r="Q151" s="2"/>
      <c r="R151" s="7">
        <f t="shared" si="96"/>
        <v>0</v>
      </c>
      <c r="S151" s="2"/>
      <c r="T151" s="6">
        <v>3776</v>
      </c>
      <c r="U151" s="2"/>
      <c r="V151" s="7">
        <f t="shared" si="97"/>
        <v>8.7933154036017665E-4</v>
      </c>
      <c r="W151" s="2"/>
      <c r="X151" s="6">
        <f t="shared" si="98"/>
        <v>-3776</v>
      </c>
      <c r="Y151" s="2"/>
      <c r="Z151" s="7">
        <f t="shared" si="99"/>
        <v>-1</v>
      </c>
    </row>
    <row r="152" spans="1:26" s="28" customFormat="1" outlineLevel="1" collapsed="1" x14ac:dyDescent="0.3">
      <c r="A152" s="29"/>
      <c r="B152" s="14" t="str">
        <f>CONCATENATE("     ","Telephone/Data Lines                              ")</f>
        <v xml:space="preserve">     Telephone/Data Lines                              </v>
      </c>
      <c r="C152" s="14"/>
      <c r="D152" s="1">
        <f>SUM(OSRRefD22_23x_0)</f>
        <v>3874.49</v>
      </c>
      <c r="E152" s="1"/>
      <c r="F152" s="5">
        <f t="shared" ref="F152:F154" si="100">IF(D$12=0,0,D152/D$12)</f>
        <v>1.5569372726939052E-3</v>
      </c>
      <c r="G152" s="1"/>
      <c r="H152" s="1">
        <f>SUM(OSRRefH22_23x_0)</f>
        <v>3799</v>
      </c>
      <c r="I152" s="1"/>
      <c r="J152" s="5">
        <f t="shared" ref="J152:J154" si="101">IF(H$12=0,0,H152/H$12)</f>
        <v>1.0449148349026308E-3</v>
      </c>
      <c r="K152" s="1"/>
      <c r="L152" s="1">
        <f t="shared" ref="L152:L154" si="102">+D152-H152</f>
        <v>75.489999999999782</v>
      </c>
      <c r="M152" s="1"/>
      <c r="N152" s="5">
        <f t="shared" ref="N152:N154" si="103">IF(H152=0,0,L152/H152)</f>
        <v>1.9871018689128661E-2</v>
      </c>
      <c r="O152" s="14"/>
      <c r="P152" s="1">
        <f>SUM(OSRRefP22_23x_0)</f>
        <v>6617.33</v>
      </c>
      <c r="Q152" s="1"/>
      <c r="R152" s="5">
        <f t="shared" ref="R152:R154" si="104">IF(P$12=0,0,P152/P$12)</f>
        <v>2.2111702120123458E-3</v>
      </c>
      <c r="S152" s="1"/>
      <c r="T152" s="1">
        <f>SUM(OSRRefT22_23x_0)</f>
        <v>7498</v>
      </c>
      <c r="U152" s="1"/>
      <c r="V152" s="5">
        <f t="shared" ref="V152:V154" si="105">IF(T$12=0,0,T152/T$12)</f>
        <v>1.746087894496982E-3</v>
      </c>
      <c r="W152" s="1"/>
      <c r="X152" s="1">
        <f t="shared" ref="X152:X154" si="106">+P152-T152</f>
        <v>-880.67000000000007</v>
      </c>
      <c r="Y152" s="1"/>
      <c r="Z152" s="5">
        <f t="shared" ref="Z152:Z154" si="107">IF(T152=0,0,X152/T152)</f>
        <v>-0.11745398773006135</v>
      </c>
    </row>
    <row r="153" spans="1:26" s="24" customFormat="1" hidden="1" outlineLevel="2" x14ac:dyDescent="0.3">
      <c r="A153" s="27"/>
      <c r="B153" s="11" t="str">
        <f>CONCATENATE("          ", "6303", " - ", "DATA PHONE LINES")</f>
        <v xml:space="preserve">          6303 - DATA PHONE LINES</v>
      </c>
      <c r="C153" s="11"/>
      <c r="D153" s="6"/>
      <c r="E153" s="2"/>
      <c r="F153" s="7">
        <f t="shared" si="100"/>
        <v>0</v>
      </c>
      <c r="G153" s="2"/>
      <c r="H153" s="6">
        <v>243</v>
      </c>
      <c r="I153" s="2"/>
      <c r="J153" s="7">
        <f t="shared" si="101"/>
        <v>6.6837142637888734E-5</v>
      </c>
      <c r="K153" s="2"/>
      <c r="L153" s="6">
        <f t="shared" si="102"/>
        <v>-243</v>
      </c>
      <c r="M153" s="2"/>
      <c r="N153" s="7">
        <f t="shared" si="103"/>
        <v>-1</v>
      </c>
      <c r="O153" s="11"/>
      <c r="P153" s="6">
        <v>295</v>
      </c>
      <c r="Q153" s="2"/>
      <c r="R153" s="7">
        <f t="shared" si="104"/>
        <v>9.8573777119116324E-5</v>
      </c>
      <c r="S153" s="2"/>
      <c r="T153" s="6">
        <v>486</v>
      </c>
      <c r="U153" s="2"/>
      <c r="V153" s="7">
        <f t="shared" si="105"/>
        <v>1.1317667601034054E-4</v>
      </c>
      <c r="W153" s="2"/>
      <c r="X153" s="6">
        <f t="shared" si="106"/>
        <v>-191</v>
      </c>
      <c r="Y153" s="2"/>
      <c r="Z153" s="7">
        <f t="shared" si="107"/>
        <v>-0.39300411522633744</v>
      </c>
    </row>
    <row r="154" spans="1:26" s="24" customFormat="1" hidden="1" outlineLevel="2" x14ac:dyDescent="0.3">
      <c r="A154" s="27"/>
      <c r="B154" s="11" t="str">
        <f>CONCATENATE("          ", "6309", " - ", "TELEPHONE")</f>
        <v xml:space="preserve">          6309 - TELEPHONE</v>
      </c>
      <c r="C154" s="11"/>
      <c r="D154" s="6">
        <v>3874.49</v>
      </c>
      <c r="E154" s="2"/>
      <c r="F154" s="7">
        <f t="shared" si="100"/>
        <v>1.5569372726939052E-3</v>
      </c>
      <c r="G154" s="2"/>
      <c r="H154" s="6">
        <v>3556</v>
      </c>
      <c r="I154" s="2"/>
      <c r="J154" s="7">
        <f t="shared" si="101"/>
        <v>9.7807769226474221E-4</v>
      </c>
      <c r="K154" s="2"/>
      <c r="L154" s="6">
        <f t="shared" si="102"/>
        <v>318.48999999999978</v>
      </c>
      <c r="M154" s="2"/>
      <c r="N154" s="7">
        <f t="shared" si="103"/>
        <v>8.9564116985376765E-2</v>
      </c>
      <c r="O154" s="11"/>
      <c r="P154" s="6">
        <v>6322.33</v>
      </c>
      <c r="Q154" s="2"/>
      <c r="R154" s="7">
        <f t="shared" si="104"/>
        <v>2.1125964348932295E-3</v>
      </c>
      <c r="S154" s="2"/>
      <c r="T154" s="6">
        <v>7012</v>
      </c>
      <c r="U154" s="2"/>
      <c r="V154" s="7">
        <f t="shared" si="105"/>
        <v>1.6329112184866415E-3</v>
      </c>
      <c r="W154" s="2"/>
      <c r="X154" s="6">
        <f t="shared" si="106"/>
        <v>-689.67000000000007</v>
      </c>
      <c r="Y154" s="2"/>
      <c r="Z154" s="7">
        <f t="shared" si="107"/>
        <v>-9.8355675984027391E-2</v>
      </c>
    </row>
    <row r="155" spans="1:26" s="28" customFormat="1" outlineLevel="1" collapsed="1" x14ac:dyDescent="0.3">
      <c r="A155" s="29"/>
      <c r="B155" s="14" t="str">
        <f>CONCATENATE("     ","Training                                          ")</f>
        <v xml:space="preserve">     Training                                          </v>
      </c>
      <c r="C155" s="14"/>
      <c r="D155" s="1">
        <f>SUM(OSRRefD22_24x_0)</f>
        <v>0</v>
      </c>
      <c r="E155" s="1"/>
      <c r="F155" s="5">
        <f t="shared" ref="F155:F160" si="108">IF(D$12=0,0,D155/D$12)</f>
        <v>0</v>
      </c>
      <c r="G155" s="1"/>
      <c r="H155" s="1">
        <f>SUM(OSRRefH22_24x_0)</f>
        <v>995</v>
      </c>
      <c r="I155" s="1"/>
      <c r="J155" s="5">
        <f t="shared" ref="J155:J160" si="109">IF(H$12=0,0,H155/H$12)</f>
        <v>2.736747198547296E-4</v>
      </c>
      <c r="K155" s="1"/>
      <c r="L155" s="1">
        <f t="shared" ref="L155:L160" si="110">+D155-H155</f>
        <v>-995</v>
      </c>
      <c r="M155" s="1"/>
      <c r="N155" s="5">
        <f t="shared" ref="N155:N160" si="111">IF(H155=0,0,L155/H155)</f>
        <v>-1</v>
      </c>
      <c r="O155" s="14"/>
      <c r="P155" s="1">
        <f>SUM(OSRRefP22_24x_0)</f>
        <v>0</v>
      </c>
      <c r="Q155" s="1"/>
      <c r="R155" s="5">
        <f t="shared" ref="R155:R160" si="112">IF(P$12=0,0,P155/P$12)</f>
        <v>0</v>
      </c>
      <c r="S155" s="1"/>
      <c r="T155" s="1">
        <f>SUM(OSRRefT22_24x_0)</f>
        <v>1955</v>
      </c>
      <c r="U155" s="1"/>
      <c r="V155" s="5">
        <f t="shared" ref="V155:V160" si="113">IF(T$12=0,0,T155/T$12)</f>
        <v>4.552683160498266E-4</v>
      </c>
      <c r="W155" s="1"/>
      <c r="X155" s="1">
        <f t="shared" ref="X155:X160" si="114">+P155-T155</f>
        <v>-1955</v>
      </c>
      <c r="Y155" s="1"/>
      <c r="Z155" s="5">
        <f t="shared" ref="Z155:Z160" si="115">IF(T155=0,0,X155/T155)</f>
        <v>-1</v>
      </c>
    </row>
    <row r="156" spans="1:26" s="24" customFormat="1" hidden="1" outlineLevel="2" x14ac:dyDescent="0.3">
      <c r="A156" s="27"/>
      <c r="B156" s="11" t="str">
        <f>CONCATENATE("          ", "6376", " - ", "TRAINING")</f>
        <v xml:space="preserve">          6376 - TRAINING</v>
      </c>
      <c r="C156" s="11"/>
      <c r="D156" s="6"/>
      <c r="E156" s="2"/>
      <c r="F156" s="7">
        <f t="shared" si="108"/>
        <v>0</v>
      </c>
      <c r="G156" s="2"/>
      <c r="H156" s="6">
        <v>995</v>
      </c>
      <c r="I156" s="2"/>
      <c r="J156" s="7">
        <f t="shared" si="109"/>
        <v>2.736747198547296E-4</v>
      </c>
      <c r="K156" s="2"/>
      <c r="L156" s="6">
        <f t="shared" si="110"/>
        <v>-995</v>
      </c>
      <c r="M156" s="2"/>
      <c r="N156" s="7">
        <f t="shared" si="111"/>
        <v>-1</v>
      </c>
      <c r="O156" s="11"/>
      <c r="P156" s="6"/>
      <c r="Q156" s="2"/>
      <c r="R156" s="7">
        <f t="shared" si="112"/>
        <v>0</v>
      </c>
      <c r="S156" s="2"/>
      <c r="T156" s="6">
        <v>1955</v>
      </c>
      <c r="U156" s="2"/>
      <c r="V156" s="7">
        <f t="shared" si="113"/>
        <v>4.552683160498266E-4</v>
      </c>
      <c r="W156" s="2"/>
      <c r="X156" s="6">
        <f t="shared" si="114"/>
        <v>-1955</v>
      </c>
      <c r="Y156" s="2"/>
      <c r="Z156" s="7">
        <f t="shared" si="115"/>
        <v>-1</v>
      </c>
    </row>
    <row r="157" spans="1:26" s="28" customFormat="1" outlineLevel="1" collapsed="1" x14ac:dyDescent="0.3">
      <c r="A157" s="29"/>
      <c r="B157" s="14" t="str">
        <f>CONCATENATE("     ","Travel                                            ")</f>
        <v xml:space="preserve">     Travel                                            </v>
      </c>
      <c r="C157" s="14"/>
      <c r="D157" s="1">
        <f>SUM(OSRRefD22_25x_0)</f>
        <v>595</v>
      </c>
      <c r="E157" s="1"/>
      <c r="F157" s="5">
        <f t="shared" si="108"/>
        <v>2.3909667524057971E-4</v>
      </c>
      <c r="G157" s="1"/>
      <c r="H157" s="1">
        <f>SUM(OSRRefH22_25x_0)</f>
        <v>175</v>
      </c>
      <c r="I157" s="1"/>
      <c r="J157" s="5">
        <f t="shared" si="109"/>
        <v>4.8133744698068024E-5</v>
      </c>
      <c r="K157" s="1"/>
      <c r="L157" s="1">
        <f t="shared" si="110"/>
        <v>420</v>
      </c>
      <c r="M157" s="1"/>
      <c r="N157" s="5">
        <f t="shared" si="111"/>
        <v>2.4</v>
      </c>
      <c r="O157" s="14"/>
      <c r="P157" s="1">
        <f>SUM(OSRRefP22_25x_0)</f>
        <v>1278.1399999999999</v>
      </c>
      <c r="Q157" s="1"/>
      <c r="R157" s="5">
        <f t="shared" si="112"/>
        <v>4.270884321594147E-4</v>
      </c>
      <c r="S157" s="1"/>
      <c r="T157" s="1">
        <f>SUM(OSRRefT22_25x_0)</f>
        <v>350</v>
      </c>
      <c r="U157" s="1"/>
      <c r="V157" s="5">
        <f t="shared" si="113"/>
        <v>8.1505836632961287E-5</v>
      </c>
      <c r="W157" s="1"/>
      <c r="X157" s="1">
        <f t="shared" si="114"/>
        <v>928.13999999999987</v>
      </c>
      <c r="Y157" s="1"/>
      <c r="Z157" s="5">
        <f t="shared" si="115"/>
        <v>2.6518285714285712</v>
      </c>
    </row>
    <row r="158" spans="1:26" s="24" customFormat="1" hidden="1" outlineLevel="2" x14ac:dyDescent="0.3">
      <c r="A158" s="27"/>
      <c r="B158" s="11" t="str">
        <f>CONCATENATE("          ", "6292", " - ", "TRAVEL/CONFERENCE")</f>
        <v xml:space="preserve">          6292 - TRAVEL/CONFERENCE</v>
      </c>
      <c r="C158" s="11"/>
      <c r="D158" s="6">
        <v>595</v>
      </c>
      <c r="E158" s="2"/>
      <c r="F158" s="7">
        <f t="shared" si="108"/>
        <v>2.3909667524057971E-4</v>
      </c>
      <c r="G158" s="2"/>
      <c r="H158" s="6">
        <v>125</v>
      </c>
      <c r="I158" s="2"/>
      <c r="J158" s="7">
        <f t="shared" si="109"/>
        <v>3.4381246212905731E-5</v>
      </c>
      <c r="K158" s="2"/>
      <c r="L158" s="6">
        <f t="shared" si="110"/>
        <v>470</v>
      </c>
      <c r="M158" s="2"/>
      <c r="N158" s="7">
        <f t="shared" si="111"/>
        <v>3.76</v>
      </c>
      <c r="O158" s="11"/>
      <c r="P158" s="6">
        <v>1090</v>
      </c>
      <c r="Q158" s="2"/>
      <c r="R158" s="7">
        <f t="shared" si="112"/>
        <v>3.642217527452095E-4</v>
      </c>
      <c r="S158" s="2"/>
      <c r="T158" s="6">
        <v>250</v>
      </c>
      <c r="U158" s="2"/>
      <c r="V158" s="7">
        <f t="shared" si="113"/>
        <v>5.8218454737829488E-5</v>
      </c>
      <c r="W158" s="2"/>
      <c r="X158" s="6">
        <f t="shared" si="114"/>
        <v>840</v>
      </c>
      <c r="Y158" s="2"/>
      <c r="Z158" s="7">
        <f t="shared" si="115"/>
        <v>3.36</v>
      </c>
    </row>
    <row r="159" spans="1:26" s="24" customFormat="1" hidden="1" outlineLevel="2" x14ac:dyDescent="0.3">
      <c r="A159" s="27"/>
      <c r="B159" s="11" t="str">
        <f>CONCATENATE("          ", "6294", " - ", "TRAVEL OPERATIONAL")</f>
        <v xml:space="preserve">          6294 - TRAVEL OPERATIONAL</v>
      </c>
      <c r="C159" s="11"/>
      <c r="D159" s="6"/>
      <c r="E159" s="2"/>
      <c r="F159" s="7">
        <f t="shared" si="108"/>
        <v>0</v>
      </c>
      <c r="G159" s="2"/>
      <c r="H159" s="6">
        <v>25</v>
      </c>
      <c r="I159" s="2"/>
      <c r="J159" s="7">
        <f t="shared" si="109"/>
        <v>6.8762492425811459E-6</v>
      </c>
      <c r="K159" s="2"/>
      <c r="L159" s="6">
        <f t="shared" si="110"/>
        <v>-25</v>
      </c>
      <c r="M159" s="2"/>
      <c r="N159" s="7">
        <f t="shared" si="111"/>
        <v>-1</v>
      </c>
      <c r="O159" s="11"/>
      <c r="P159" s="6">
        <v>188.14</v>
      </c>
      <c r="Q159" s="2"/>
      <c r="R159" s="7">
        <f t="shared" si="112"/>
        <v>6.2866679414205239E-5</v>
      </c>
      <c r="S159" s="2"/>
      <c r="T159" s="6">
        <v>50</v>
      </c>
      <c r="U159" s="2"/>
      <c r="V159" s="7">
        <f t="shared" si="113"/>
        <v>1.1643690947565898E-5</v>
      </c>
      <c r="W159" s="2"/>
      <c r="X159" s="6">
        <f t="shared" si="114"/>
        <v>138.13999999999999</v>
      </c>
      <c r="Y159" s="2"/>
      <c r="Z159" s="7">
        <f t="shared" si="115"/>
        <v>2.7627999999999999</v>
      </c>
    </row>
    <row r="160" spans="1:26" s="24" customFormat="1" hidden="1" outlineLevel="2" x14ac:dyDescent="0.3">
      <c r="A160" s="27"/>
      <c r="B160" s="11" t="str">
        <f>CONCATENATE("          ", "6298", " - ", "VEHICLE MILEAGE")</f>
        <v xml:space="preserve">          6298 - VEHICLE MILEAGE</v>
      </c>
      <c r="C160" s="11"/>
      <c r="D160" s="6"/>
      <c r="E160" s="2"/>
      <c r="F160" s="7">
        <f t="shared" si="108"/>
        <v>0</v>
      </c>
      <c r="G160" s="2"/>
      <c r="H160" s="6">
        <v>25</v>
      </c>
      <c r="I160" s="2"/>
      <c r="J160" s="7">
        <f t="shared" si="109"/>
        <v>6.8762492425811459E-6</v>
      </c>
      <c r="K160" s="2"/>
      <c r="L160" s="6">
        <f t="shared" si="110"/>
        <v>-25</v>
      </c>
      <c r="M160" s="2"/>
      <c r="N160" s="7">
        <f t="shared" si="111"/>
        <v>-1</v>
      </c>
      <c r="O160" s="11"/>
      <c r="P160" s="6"/>
      <c r="Q160" s="2"/>
      <c r="R160" s="7">
        <f t="shared" si="112"/>
        <v>0</v>
      </c>
      <c r="S160" s="2"/>
      <c r="T160" s="6">
        <v>50</v>
      </c>
      <c r="U160" s="2"/>
      <c r="V160" s="7">
        <f t="shared" si="113"/>
        <v>1.1643690947565898E-5</v>
      </c>
      <c r="W160" s="2"/>
      <c r="X160" s="6">
        <f t="shared" si="114"/>
        <v>-50</v>
      </c>
      <c r="Y160" s="2"/>
      <c r="Z160" s="7">
        <f t="shared" si="115"/>
        <v>-1</v>
      </c>
    </row>
    <row r="161" spans="1:26" s="28" customFormat="1" outlineLevel="1" collapsed="1" x14ac:dyDescent="0.3">
      <c r="A161" s="29"/>
      <c r="B161" s="14" t="str">
        <f>CONCATENATE("     ","Utilities                                         ")</f>
        <v xml:space="preserve">     Utilities                                         </v>
      </c>
      <c r="C161" s="14"/>
      <c r="D161" s="1">
        <f>SUM(OSRRefD22_26x_0)</f>
        <v>14287.29</v>
      </c>
      <c r="E161" s="1"/>
      <c r="F161" s="5">
        <f t="shared" ref="F161:F162" si="116">IF(D$12=0,0,D161/D$12)</f>
        <v>5.7412496423495498E-3</v>
      </c>
      <c r="G161" s="1"/>
      <c r="H161" s="1">
        <f>SUM(OSRRefH22_26x_0)</f>
        <v>14787</v>
      </c>
      <c r="I161" s="1"/>
      <c r="J161" s="5">
        <f t="shared" ref="J161:J162" si="117">IF(H$12=0,0,H161/H$12)</f>
        <v>4.0671639020018963E-3</v>
      </c>
      <c r="K161" s="1"/>
      <c r="L161" s="1">
        <f t="shared" ref="L161:L162" si="118">+D161-H161</f>
        <v>-499.70999999999913</v>
      </c>
      <c r="M161" s="1"/>
      <c r="N161" s="5">
        <f t="shared" ref="N161:N162" si="119">IF(H161=0,0,L161/H161)</f>
        <v>-3.3793872996550962E-2</v>
      </c>
      <c r="O161" s="14"/>
      <c r="P161" s="1">
        <f>SUM(OSRRefP22_26x_0)</f>
        <v>28573.78</v>
      </c>
      <c r="Q161" s="1"/>
      <c r="R161" s="5">
        <f t="shared" ref="R161:R162" si="120">IF(P$12=0,0,P161/P$12)</f>
        <v>9.5478827836293686E-3</v>
      </c>
      <c r="S161" s="1"/>
      <c r="T161" s="1">
        <f>SUM(OSRRefT22_26x_0)</f>
        <v>29574</v>
      </c>
      <c r="U161" s="1"/>
      <c r="V161" s="5">
        <f t="shared" ref="V161:V162" si="121">IF(T$12=0,0,T161/T$12)</f>
        <v>6.8870103216662776E-3</v>
      </c>
      <c r="W161" s="1"/>
      <c r="X161" s="1">
        <f t="shared" ref="X161:X162" si="122">+P161-T161</f>
        <v>-1000.2200000000012</v>
      </c>
      <c r="Y161" s="1"/>
      <c r="Z161" s="5">
        <f t="shared" ref="Z161:Z162" si="123">IF(T161=0,0,X161/T161)</f>
        <v>-3.3820923784405259E-2</v>
      </c>
    </row>
    <row r="162" spans="1:26" s="24" customFormat="1" hidden="1" outlineLevel="2" x14ac:dyDescent="0.3">
      <c r="A162" s="27"/>
      <c r="B162" s="11" t="str">
        <f>CONCATENATE("          ", "6274", " - ", "UTILITIES")</f>
        <v xml:space="preserve">          6274 - UTILITIES</v>
      </c>
      <c r="C162" s="11"/>
      <c r="D162" s="6">
        <v>14287.29</v>
      </c>
      <c r="E162" s="2"/>
      <c r="F162" s="7">
        <f t="shared" si="116"/>
        <v>5.7412496423495498E-3</v>
      </c>
      <c r="G162" s="2"/>
      <c r="H162" s="6">
        <v>14787</v>
      </c>
      <c r="I162" s="2"/>
      <c r="J162" s="7">
        <f t="shared" si="117"/>
        <v>4.0671639020018963E-3</v>
      </c>
      <c r="K162" s="2"/>
      <c r="L162" s="6">
        <f t="shared" si="118"/>
        <v>-499.70999999999913</v>
      </c>
      <c r="M162" s="2"/>
      <c r="N162" s="7">
        <f t="shared" si="119"/>
        <v>-3.3793872996550962E-2</v>
      </c>
      <c r="O162" s="11"/>
      <c r="P162" s="6">
        <v>28573.78</v>
      </c>
      <c r="Q162" s="2"/>
      <c r="R162" s="7">
        <f t="shared" si="120"/>
        <v>9.5478827836293686E-3</v>
      </c>
      <c r="S162" s="2"/>
      <c r="T162" s="6">
        <v>29574</v>
      </c>
      <c r="U162" s="2"/>
      <c r="V162" s="7">
        <f t="shared" si="121"/>
        <v>6.8870103216662776E-3</v>
      </c>
      <c r="W162" s="2"/>
      <c r="X162" s="6">
        <f t="shared" si="122"/>
        <v>-1000.2200000000012</v>
      </c>
      <c r="Y162" s="2"/>
      <c r="Z162" s="7">
        <f t="shared" si="123"/>
        <v>-3.3820923784405259E-2</v>
      </c>
    </row>
    <row r="163" spans="1:26" s="53" customFormat="1" x14ac:dyDescent="0.3">
      <c r="A163" s="36"/>
      <c r="B163" s="36"/>
      <c r="C163" s="36"/>
      <c r="D163" s="1"/>
      <c r="E163" s="1"/>
      <c r="F163" s="5"/>
      <c r="G163" s="1"/>
      <c r="H163" s="1"/>
      <c r="I163" s="1"/>
      <c r="J163" s="5"/>
      <c r="K163" s="1"/>
      <c r="L163" s="1"/>
      <c r="M163" s="1"/>
      <c r="N163" s="5"/>
      <c r="O163" s="36"/>
      <c r="P163" s="1"/>
      <c r="Q163" s="1"/>
      <c r="R163" s="5"/>
      <c r="S163" s="1"/>
      <c r="T163" s="1"/>
      <c r="U163" s="1"/>
      <c r="V163" s="5"/>
      <c r="W163" s="1"/>
      <c r="X163" s="1"/>
      <c r="Y163" s="1"/>
      <c r="Z163" s="5"/>
    </row>
    <row r="164" spans="1:26" s="23" customFormat="1" collapsed="1" x14ac:dyDescent="0.3">
      <c r="A164" s="10"/>
      <c r="B164" s="25" t="s">
        <v>293</v>
      </c>
      <c r="C164" s="10"/>
      <c r="D164" s="4">
        <f>SUM(OSRRefD25x_0)</f>
        <v>159547.54999999999</v>
      </c>
      <c r="E164" s="4"/>
      <c r="F164" s="12">
        <f t="shared" ref="F164:F172" si="124">IF(D$12=0,0,D164/D$12)</f>
        <v>6.4113090332403616E-2</v>
      </c>
      <c r="G164" s="4"/>
      <c r="H164" s="4">
        <f>SUM(OSRRefH25x_0)</f>
        <v>59155</v>
      </c>
      <c r="I164" s="4"/>
      <c r="J164" s="12">
        <f t="shared" ref="J164:J172" si="125">IF(H$12=0,0,H164/H$12)</f>
        <v>1.6270580957795506E-2</v>
      </c>
      <c r="K164" s="4"/>
      <c r="L164" s="4">
        <f t="shared" ref="L164:L172" si="126">+D164-H164</f>
        <v>100392.54999999999</v>
      </c>
      <c r="M164" s="4"/>
      <c r="N164" s="12">
        <f t="shared" ref="N164:N172" si="127">IF(H164=0,0,L164/H164)</f>
        <v>1.6971101343926969</v>
      </c>
      <c r="O164" s="10"/>
      <c r="P164" s="4">
        <f>SUM(OSRRefP25x_0)</f>
        <v>202145.36000000002</v>
      </c>
      <c r="Q164" s="4"/>
      <c r="R164" s="12">
        <f t="shared" ref="R164:R172" si="128">IF(P$12=0,0,P164/P$12)</f>
        <v>6.7546548007808585E-2</v>
      </c>
      <c r="S164" s="4"/>
      <c r="T164" s="4">
        <f>SUM(OSRRefT25x_0)</f>
        <v>85908</v>
      </c>
      <c r="U164" s="4"/>
      <c r="V164" s="12">
        <f t="shared" ref="V164:V172" si="129">IF(T$12=0,0,T164/T$12)</f>
        <v>2.0005724038469824E-2</v>
      </c>
      <c r="W164" s="4"/>
      <c r="X164" s="4">
        <f t="shared" ref="X164:X172" si="130">+P164-T164</f>
        <v>116237.36000000002</v>
      </c>
      <c r="Y164" s="4"/>
      <c r="Z164" s="12">
        <f t="shared" ref="Z164:Z172" si="131">IF(T164=0,0,X164/T164)</f>
        <v>1.3530446524188668</v>
      </c>
    </row>
    <row r="165" spans="1:26" s="24" customFormat="1" hidden="1" outlineLevel="1" x14ac:dyDescent="0.3">
      <c r="A165" s="44"/>
      <c r="B165" s="11" t="str">
        <f>CONCATENATE("          ", "4187", " - ", "NON-TAXABLE SALES-COMPUTER REP")</f>
        <v xml:space="preserve">          4187 - NON-TAXABLE SALES-COMPUTER REP</v>
      </c>
      <c r="C165" s="11"/>
      <c r="D165" s="2">
        <f>0</f>
        <v>0</v>
      </c>
      <c r="E165" s="2"/>
      <c r="F165" s="19">
        <f t="shared" si="124"/>
        <v>0</v>
      </c>
      <c r="G165" s="2"/>
      <c r="H165" s="2"/>
      <c r="I165" s="2"/>
      <c r="J165" s="19">
        <f t="shared" si="125"/>
        <v>0</v>
      </c>
      <c r="K165" s="2"/>
      <c r="L165" s="2">
        <f t="shared" si="126"/>
        <v>0</v>
      </c>
      <c r="M165" s="2"/>
      <c r="N165" s="19">
        <f t="shared" si="127"/>
        <v>0</v>
      </c>
      <c r="O165" s="11"/>
      <c r="P165" s="2">
        <f>0</f>
        <v>0</v>
      </c>
      <c r="Q165" s="2"/>
      <c r="R165" s="19">
        <f t="shared" si="128"/>
        <v>0</v>
      </c>
      <c r="S165" s="2"/>
      <c r="T165" s="2"/>
      <c r="U165" s="2"/>
      <c r="V165" s="19">
        <f t="shared" si="129"/>
        <v>0</v>
      </c>
      <c r="W165" s="2"/>
      <c r="X165" s="2">
        <f t="shared" si="130"/>
        <v>0</v>
      </c>
      <c r="Y165" s="2"/>
      <c r="Z165" s="19">
        <f t="shared" si="131"/>
        <v>0</v>
      </c>
    </row>
    <row r="166" spans="1:26" s="24" customFormat="1" hidden="1" outlineLevel="1" x14ac:dyDescent="0.3">
      <c r="A166" s="44"/>
      <c r="B166" s="11" t="str">
        <f>CONCATENATE("          ", "9087", " - ", "")</f>
        <v xml:space="preserve">          9087 - </v>
      </c>
      <c r="C166" s="11"/>
      <c r="D166" s="2">
        <f>--946.54</f>
        <v>946.54</v>
      </c>
      <c r="E166" s="2"/>
      <c r="F166" s="19">
        <f t="shared" si="124"/>
        <v>3.803606167768375E-4</v>
      </c>
      <c r="G166" s="2"/>
      <c r="H166" s="2"/>
      <c r="I166" s="2"/>
      <c r="J166" s="19">
        <f t="shared" si="125"/>
        <v>0</v>
      </c>
      <c r="K166" s="2"/>
      <c r="L166" s="2">
        <f t="shared" si="126"/>
        <v>946.54</v>
      </c>
      <c r="M166" s="2"/>
      <c r="N166" s="19">
        <f t="shared" si="127"/>
        <v>0</v>
      </c>
      <c r="O166" s="11"/>
      <c r="P166" s="2">
        <f>--1020.01</f>
        <v>1020.01</v>
      </c>
      <c r="Q166" s="2"/>
      <c r="R166" s="19">
        <f t="shared" si="128"/>
        <v>3.4083470643820284E-4</v>
      </c>
      <c r="S166" s="2"/>
      <c r="T166" s="2"/>
      <c r="U166" s="2"/>
      <c r="V166" s="19">
        <f t="shared" si="129"/>
        <v>0</v>
      </c>
      <c r="W166" s="2"/>
      <c r="X166" s="2">
        <f t="shared" si="130"/>
        <v>1020.01</v>
      </c>
      <c r="Y166" s="2"/>
      <c r="Z166" s="19">
        <f t="shared" si="131"/>
        <v>0</v>
      </c>
    </row>
    <row r="167" spans="1:26" s="24" customFormat="1" hidden="1" outlineLevel="1" x14ac:dyDescent="0.3">
      <c r="A167" s="44"/>
      <c r="B167" s="11" t="str">
        <f>CONCATENATE("          ", "9150", " - ", "MISC. INCOME")</f>
        <v xml:space="preserve">          9150 - MISC. INCOME</v>
      </c>
      <c r="C167" s="11"/>
      <c r="D167" s="2">
        <f>--78612.03</f>
        <v>78612.03</v>
      </c>
      <c r="E167" s="2"/>
      <c r="F167" s="19">
        <f t="shared" si="124"/>
        <v>3.1589705893970942E-2</v>
      </c>
      <c r="G167" s="2"/>
      <c r="H167" s="2">
        <v>16155</v>
      </c>
      <c r="I167" s="2"/>
      <c r="J167" s="19">
        <f t="shared" si="125"/>
        <v>4.4434322605559368E-3</v>
      </c>
      <c r="K167" s="2"/>
      <c r="L167" s="2">
        <f t="shared" si="126"/>
        <v>62457.03</v>
      </c>
      <c r="M167" s="2"/>
      <c r="N167" s="19">
        <f t="shared" si="127"/>
        <v>3.8661114206128131</v>
      </c>
      <c r="O167" s="11"/>
      <c r="P167" s="2">
        <f>--113502.39</f>
        <v>113502.39</v>
      </c>
      <c r="Q167" s="2"/>
      <c r="R167" s="19">
        <f t="shared" si="128"/>
        <v>3.7926641675752604E-2</v>
      </c>
      <c r="S167" s="2"/>
      <c r="T167" s="2">
        <v>42908</v>
      </c>
      <c r="U167" s="2"/>
      <c r="V167" s="19">
        <f t="shared" si="129"/>
        <v>9.9921498235631505E-3</v>
      </c>
      <c r="W167" s="2"/>
      <c r="X167" s="2">
        <f t="shared" si="130"/>
        <v>70594.39</v>
      </c>
      <c r="Y167" s="2"/>
      <c r="Z167" s="19">
        <f t="shared" si="131"/>
        <v>1.6452500699170318</v>
      </c>
    </row>
    <row r="168" spans="1:26" s="24" customFormat="1" hidden="1" outlineLevel="1" x14ac:dyDescent="0.3">
      <c r="A168" s="44"/>
      <c r="B168" s="11" t="str">
        <f>CONCATENATE("          ", "9151", " - ", "MISC. INCOME")</f>
        <v xml:space="preserve">          9151 - MISC. INCOME</v>
      </c>
      <c r="C168" s="11"/>
      <c r="D168" s="2">
        <f>--11556.36</f>
        <v>11556.36</v>
      </c>
      <c r="E168" s="2"/>
      <c r="F168" s="19">
        <f t="shared" si="124"/>
        <v>4.6438441241734886E-3</v>
      </c>
      <c r="G168" s="2"/>
      <c r="H168" s="2">
        <v>43000</v>
      </c>
      <c r="I168" s="2"/>
      <c r="J168" s="19">
        <f t="shared" si="125"/>
        <v>1.1827148697239571E-2</v>
      </c>
      <c r="K168" s="2"/>
      <c r="L168" s="2">
        <f t="shared" si="126"/>
        <v>-31443.64</v>
      </c>
      <c r="M168" s="2"/>
      <c r="N168" s="19">
        <f t="shared" si="127"/>
        <v>-0.73124744186046509</v>
      </c>
      <c r="O168" s="11"/>
      <c r="P168" s="2">
        <f>--11556.36</f>
        <v>11556.36</v>
      </c>
      <c r="Q168" s="2"/>
      <c r="R168" s="19">
        <f t="shared" si="128"/>
        <v>3.8615391693161737E-3</v>
      </c>
      <c r="S168" s="2"/>
      <c r="T168" s="2">
        <v>43000</v>
      </c>
      <c r="U168" s="2"/>
      <c r="V168" s="19">
        <f t="shared" si="129"/>
        <v>1.0013574214906673E-2</v>
      </c>
      <c r="W168" s="2"/>
      <c r="X168" s="2">
        <f t="shared" si="130"/>
        <v>-31443.64</v>
      </c>
      <c r="Y168" s="2"/>
      <c r="Z168" s="19">
        <f t="shared" si="131"/>
        <v>-0.73124744186046509</v>
      </c>
    </row>
    <row r="169" spans="1:26" s="24" customFormat="1" hidden="1" outlineLevel="1" x14ac:dyDescent="0.3">
      <c r="A169" s="44"/>
      <c r="B169" s="11" t="str">
        <f>CONCATENATE("          ", "9152", " - ", "MISC. INCOME")</f>
        <v xml:space="preserve">          9152 - MISC. INCOME</v>
      </c>
      <c r="C169" s="11"/>
      <c r="D169" s="2">
        <f>--936.11</f>
        <v>936.11</v>
      </c>
      <c r="E169" s="2"/>
      <c r="F169" s="19">
        <f t="shared" si="124"/>
        <v>3.7616939270497323E-4</v>
      </c>
      <c r="G169" s="2"/>
      <c r="H169" s="2"/>
      <c r="I169" s="2"/>
      <c r="J169" s="19">
        <f t="shared" si="125"/>
        <v>0</v>
      </c>
      <c r="K169" s="2"/>
      <c r="L169" s="2">
        <f t="shared" si="126"/>
        <v>936.11</v>
      </c>
      <c r="M169" s="2"/>
      <c r="N169" s="19">
        <f t="shared" si="127"/>
        <v>0</v>
      </c>
      <c r="O169" s="11"/>
      <c r="P169" s="2">
        <f>--1003.03</f>
        <v>1003.03</v>
      </c>
      <c r="Q169" s="2"/>
      <c r="R169" s="19">
        <f t="shared" si="128"/>
        <v>3.3516086665690594E-4</v>
      </c>
      <c r="S169" s="2"/>
      <c r="T169" s="2"/>
      <c r="U169" s="2"/>
      <c r="V169" s="19">
        <f t="shared" si="129"/>
        <v>0</v>
      </c>
      <c r="W169" s="2"/>
      <c r="X169" s="2">
        <f t="shared" si="130"/>
        <v>1003.03</v>
      </c>
      <c r="Y169" s="2"/>
      <c r="Z169" s="19">
        <f t="shared" si="131"/>
        <v>0</v>
      </c>
    </row>
    <row r="170" spans="1:26" s="24" customFormat="1" hidden="1" outlineLevel="1" x14ac:dyDescent="0.3">
      <c r="A170" s="44"/>
      <c r="B170" s="11" t="str">
        <f>CONCATENATE("          ", "9160", " - ", "MISC. INCOME")</f>
        <v xml:space="preserve">          9160 - MISC. INCOME</v>
      </c>
      <c r="C170" s="11"/>
      <c r="D170" s="2">
        <f>--10000</f>
        <v>10000</v>
      </c>
      <c r="E170" s="2"/>
      <c r="F170" s="19">
        <f t="shared" si="124"/>
        <v>4.0184315166483988E-3</v>
      </c>
      <c r="G170" s="2"/>
      <c r="H170" s="2">
        <v>0</v>
      </c>
      <c r="I170" s="2"/>
      <c r="J170" s="19">
        <f t="shared" si="125"/>
        <v>0</v>
      </c>
      <c r="K170" s="2"/>
      <c r="L170" s="2">
        <f t="shared" si="126"/>
        <v>10000</v>
      </c>
      <c r="M170" s="2"/>
      <c r="N170" s="19">
        <f t="shared" si="127"/>
        <v>0</v>
      </c>
      <c r="O170" s="11"/>
      <c r="P170" s="2">
        <f>--11238.12</f>
        <v>11238.12</v>
      </c>
      <c r="Q170" s="2"/>
      <c r="R170" s="19">
        <f t="shared" si="128"/>
        <v>3.7551997834504532E-3</v>
      </c>
      <c r="S170" s="2"/>
      <c r="T170" s="2">
        <v>0</v>
      </c>
      <c r="U170" s="2"/>
      <c r="V170" s="19">
        <f t="shared" si="129"/>
        <v>0</v>
      </c>
      <c r="W170" s="2"/>
      <c r="X170" s="2">
        <f t="shared" si="130"/>
        <v>11238.12</v>
      </c>
      <c r="Y170" s="2"/>
      <c r="Z170" s="19">
        <f t="shared" si="131"/>
        <v>0</v>
      </c>
    </row>
    <row r="171" spans="1:26" s="24" customFormat="1" hidden="1" outlineLevel="1" x14ac:dyDescent="0.3">
      <c r="A171" s="44"/>
      <c r="B171" s="11" t="str">
        <f>CONCATENATE("          ", "9163", " - ", "MISC. INCOME")</f>
        <v xml:space="preserve">          9163 - MISC. INCOME</v>
      </c>
      <c r="C171" s="11"/>
      <c r="D171" s="2">
        <f>--56991</f>
        <v>56991</v>
      </c>
      <c r="E171" s="2"/>
      <c r="F171" s="19">
        <f t="shared" si="124"/>
        <v>2.2901443056530888E-2</v>
      </c>
      <c r="G171" s="2"/>
      <c r="H171" s="2"/>
      <c r="I171" s="2"/>
      <c r="J171" s="19">
        <f t="shared" si="125"/>
        <v>0</v>
      </c>
      <c r="K171" s="2"/>
      <c r="L171" s="2">
        <f t="shared" si="126"/>
        <v>56991</v>
      </c>
      <c r="M171" s="2"/>
      <c r="N171" s="19">
        <f t="shared" si="127"/>
        <v>0</v>
      </c>
      <c r="O171" s="11"/>
      <c r="P171" s="2">
        <f>--63319.94</f>
        <v>63319.94</v>
      </c>
      <c r="Q171" s="2"/>
      <c r="R171" s="19">
        <f t="shared" si="128"/>
        <v>2.1158256450019727E-2</v>
      </c>
      <c r="S171" s="2"/>
      <c r="T171" s="2"/>
      <c r="U171" s="2"/>
      <c r="V171" s="19">
        <f t="shared" si="129"/>
        <v>0</v>
      </c>
      <c r="W171" s="2"/>
      <c r="X171" s="2">
        <f t="shared" si="130"/>
        <v>63319.94</v>
      </c>
      <c r="Y171" s="2"/>
      <c r="Z171" s="19">
        <f t="shared" si="131"/>
        <v>0</v>
      </c>
    </row>
    <row r="172" spans="1:26" s="24" customFormat="1" hidden="1" outlineLevel="1" x14ac:dyDescent="0.3">
      <c r="A172" s="44"/>
      <c r="B172" s="11" t="str">
        <f>CONCATENATE("          ", "9165", " - ", "OTHER INCOME")</f>
        <v xml:space="preserve">          9165 - OTHER INCOME</v>
      </c>
      <c r="C172" s="11"/>
      <c r="D172" s="2">
        <f>--505.51</f>
        <v>505.51</v>
      </c>
      <c r="E172" s="2"/>
      <c r="F172" s="19">
        <f t="shared" si="124"/>
        <v>2.0313573159809318E-4</v>
      </c>
      <c r="G172" s="2"/>
      <c r="H172" s="2"/>
      <c r="I172" s="2"/>
      <c r="J172" s="19">
        <f t="shared" si="125"/>
        <v>0</v>
      </c>
      <c r="K172" s="2"/>
      <c r="L172" s="2">
        <f t="shared" si="126"/>
        <v>505.51</v>
      </c>
      <c r="M172" s="2"/>
      <c r="N172" s="19">
        <f t="shared" si="127"/>
        <v>0</v>
      </c>
      <c r="O172" s="11"/>
      <c r="P172" s="2">
        <f>--505.51</f>
        <v>505.51</v>
      </c>
      <c r="Q172" s="2"/>
      <c r="R172" s="19">
        <f t="shared" si="128"/>
        <v>1.6891535617452372E-4</v>
      </c>
      <c r="S172" s="2"/>
      <c r="T172" s="2"/>
      <c r="U172" s="2"/>
      <c r="V172" s="19">
        <f t="shared" si="129"/>
        <v>0</v>
      </c>
      <c r="W172" s="2"/>
      <c r="X172" s="2">
        <f t="shared" si="130"/>
        <v>505.51</v>
      </c>
      <c r="Y172" s="2"/>
      <c r="Z172" s="19">
        <f t="shared" si="131"/>
        <v>0</v>
      </c>
    </row>
    <row r="173" spans="1:26" x14ac:dyDescent="0.3">
      <c r="A173" s="9"/>
      <c r="B173" s="10"/>
      <c r="C173" s="10"/>
      <c r="D173" s="3"/>
      <c r="E173" s="3"/>
      <c r="F173" s="8"/>
      <c r="G173" s="3"/>
      <c r="H173" s="3"/>
      <c r="I173" s="3"/>
      <c r="J173" s="8"/>
      <c r="K173" s="3"/>
      <c r="L173" s="3"/>
      <c r="M173" s="3"/>
      <c r="N173" s="8"/>
      <c r="O173" s="10"/>
      <c r="P173" s="3"/>
      <c r="Q173" s="3"/>
      <c r="R173" s="8"/>
      <c r="S173" s="3"/>
      <c r="T173" s="3"/>
      <c r="U173" s="3"/>
      <c r="V173" s="8"/>
      <c r="W173" s="3"/>
      <c r="X173" s="3"/>
      <c r="Y173" s="3"/>
      <c r="Z173" s="8"/>
    </row>
    <row r="174" spans="1:26" s="23" customFormat="1" x14ac:dyDescent="0.3">
      <c r="A174" s="10"/>
      <c r="B174" s="26" t="s">
        <v>277</v>
      </c>
      <c r="C174" s="26"/>
      <c r="D174" s="21">
        <f>+D61-D63+D164</f>
        <v>249907.76999999938</v>
      </c>
      <c r="E174" s="13"/>
      <c r="F174" s="20">
        <f>IF(D$12=0,0,D174/D$12)</f>
        <v>0.10042372592233166</v>
      </c>
      <c r="G174" s="13"/>
      <c r="H174" s="21">
        <f>+H61-H63+H164</f>
        <v>187734.64855065523</v>
      </c>
      <c r="I174" s="13"/>
      <c r="J174" s="20">
        <f>IF(H$12=0,0,H174/H$12)</f>
        <v>5.1636409396107225E-2</v>
      </c>
      <c r="K174" s="16"/>
      <c r="L174" s="21">
        <f>+D174-H174</f>
        <v>62173.121449344151</v>
      </c>
      <c r="M174" s="16"/>
      <c r="N174" s="20">
        <f>IF(H174=0,0,L174/H174)</f>
        <v>0.33117552848838333</v>
      </c>
      <c r="O174" s="25"/>
      <c r="P174" s="21">
        <f>+P61-P63+P164</f>
        <v>-313815.30999999994</v>
      </c>
      <c r="Q174" s="13"/>
      <c r="R174" s="20">
        <f>IF(P$12=0,0,P174/P$12)</f>
        <v>-0.10486088279493692</v>
      </c>
      <c r="S174" s="13"/>
      <c r="T174" s="21">
        <f>+T61-T63+T164</f>
        <v>-572957.49126621895</v>
      </c>
      <c r="U174" s="13"/>
      <c r="V174" s="20">
        <f>IF(T$12=0,0,T174/T$12)</f>
        <v>-0.13342679908793081</v>
      </c>
      <c r="W174" s="16"/>
      <c r="X174" s="21">
        <f>+P174-T174</f>
        <v>259142.18126621901</v>
      </c>
      <c r="Y174" s="16"/>
      <c r="Z174" s="20">
        <f>IF(T174=0,0,X174/T174)</f>
        <v>-0.45228866925803263</v>
      </c>
    </row>
    <row r="175" spans="1:26" x14ac:dyDescent="0.3">
      <c r="A175" s="9"/>
      <c r="B175" s="10"/>
      <c r="C175" s="9"/>
      <c r="D175" s="3"/>
      <c r="E175" s="3"/>
      <c r="F175" s="8"/>
      <c r="G175" s="3"/>
      <c r="H175" s="3"/>
      <c r="I175" s="3"/>
      <c r="J175" s="8"/>
      <c r="K175" s="3"/>
      <c r="L175" s="3"/>
      <c r="M175" s="3"/>
      <c r="N175" s="8"/>
      <c r="P175" s="3"/>
      <c r="Q175" s="3"/>
      <c r="R175" s="8"/>
      <c r="S175" s="3"/>
      <c r="T175" s="3"/>
      <c r="U175" s="3"/>
      <c r="V175" s="8"/>
      <c r="W175" s="3"/>
      <c r="X175" s="3"/>
      <c r="Y175" s="3"/>
      <c r="Z175" s="8"/>
    </row>
    <row r="176" spans="1:26" s="23" customFormat="1" x14ac:dyDescent="0.3">
      <c r="A176" s="52"/>
      <c r="B176" s="10" t="s">
        <v>128</v>
      </c>
      <c r="C176" s="10"/>
      <c r="D176" s="4">
        <v>214290.75</v>
      </c>
      <c r="E176" s="4"/>
      <c r="F176" s="12">
        <f>IF(D$12=0,0,D176/D$12)</f>
        <v>8.6111270352622282E-2</v>
      </c>
      <c r="G176" s="4"/>
      <c r="H176" s="4">
        <v>242458</v>
      </c>
      <c r="I176" s="4"/>
      <c r="J176" s="12">
        <f>IF(H$12=0,0,H176/H$12)</f>
        <v>6.6688065554309575E-2</v>
      </c>
      <c r="K176" s="4"/>
      <c r="L176" s="4">
        <f>+D176-H176</f>
        <v>-28167.25</v>
      </c>
      <c r="M176" s="4"/>
      <c r="N176" s="12">
        <f>IF(H176=0,0,L176/H176)</f>
        <v>-0.11617372905822865</v>
      </c>
      <c r="O176" s="10"/>
      <c r="P176" s="4">
        <v>447205.61</v>
      </c>
      <c r="Q176" s="4"/>
      <c r="R176" s="12">
        <f>IF(P$12=0,0,P176/P$12)</f>
        <v>0.14943303771714733</v>
      </c>
      <c r="S176" s="4"/>
      <c r="T176" s="4">
        <v>480921</v>
      </c>
      <c r="U176" s="4"/>
      <c r="V176" s="12">
        <f>IF(T$12=0,0,T176/T$12)</f>
        <v>0.11199390988388679</v>
      </c>
      <c r="W176" s="4"/>
      <c r="X176" s="4">
        <f>+P176-T176</f>
        <v>-33715.390000000014</v>
      </c>
      <c r="Y176" s="4"/>
      <c r="Z176" s="12">
        <f>IF(T176=0,0,X176/T176)</f>
        <v>-7.0105880175746149E-2</v>
      </c>
    </row>
    <row r="177" spans="1:26" x14ac:dyDescent="0.3">
      <c r="A177" s="9"/>
      <c r="B177" s="10"/>
      <c r="C177" s="10"/>
      <c r="D177" s="3"/>
      <c r="E177" s="3"/>
      <c r="F177" s="8"/>
      <c r="G177" s="3"/>
      <c r="H177" s="3"/>
      <c r="I177" s="3"/>
      <c r="J177" s="8"/>
      <c r="K177" s="3"/>
      <c r="L177" s="3"/>
      <c r="M177" s="3"/>
      <c r="N177" s="8"/>
      <c r="O177" s="10"/>
      <c r="P177" s="3"/>
      <c r="Q177" s="3"/>
      <c r="R177" s="8"/>
      <c r="S177" s="3"/>
      <c r="T177" s="3"/>
      <c r="U177" s="3"/>
      <c r="V177" s="8"/>
      <c r="W177" s="3"/>
      <c r="X177" s="3"/>
      <c r="Y177" s="3"/>
      <c r="Z177" s="8"/>
    </row>
    <row r="178" spans="1:26" s="23" customFormat="1" ht="15" thickBot="1" x14ac:dyDescent="0.35">
      <c r="A178" s="10"/>
      <c r="B178" s="26" t="s">
        <v>126</v>
      </c>
      <c r="C178" s="26"/>
      <c r="D178" s="30">
        <f>+D174-D176</f>
        <v>35617.019999999378</v>
      </c>
      <c r="E178" s="13"/>
      <c r="F178" s="35">
        <f>IF(D$12=0,0,D178/D$12)</f>
        <v>1.4312455569709384E-2</v>
      </c>
      <c r="G178" s="13"/>
      <c r="H178" s="30">
        <f>+H174-H176</f>
        <v>-54723.351449344773</v>
      </c>
      <c r="I178" s="13"/>
      <c r="J178" s="35">
        <f>IF(H$12=0,0,H178/H$12)</f>
        <v>-1.5051656158202354E-2</v>
      </c>
      <c r="K178" s="16"/>
      <c r="L178" s="30">
        <f>D178-H178</f>
        <v>90340.371449344151</v>
      </c>
      <c r="M178" s="16"/>
      <c r="N178" s="35">
        <f>IF(H178=0,0,L178/H178)</f>
        <v>-1.6508559701970855</v>
      </c>
      <c r="O178" s="25"/>
      <c r="P178" s="30">
        <f>+P174-P176</f>
        <v>-761020.91999999993</v>
      </c>
      <c r="Q178" s="13"/>
      <c r="R178" s="35">
        <f>IF(P$12=0,0,P178/P$12)</f>
        <v>-0.25429392051208421</v>
      </c>
      <c r="S178" s="13"/>
      <c r="T178" s="30">
        <f>+T174-T176</f>
        <v>-1053878.4912662189</v>
      </c>
      <c r="U178" s="13"/>
      <c r="V178" s="35">
        <f>IF(T$12=0,0,T178/T$12)</f>
        <v>-0.24542070897181759</v>
      </c>
      <c r="W178" s="16"/>
      <c r="X178" s="30">
        <f>P178-T178</f>
        <v>292857.57126621902</v>
      </c>
      <c r="Y178" s="16"/>
      <c r="Z178" s="35">
        <f>IF(T178=0,0,X178/T178)</f>
        <v>-0.27788551877015261</v>
      </c>
    </row>
    <row r="179" spans="1:26" ht="15" thickTop="1" x14ac:dyDescent="0.3">
      <c r="A179" s="9"/>
      <c r="B179" s="9"/>
      <c r="C179" s="9"/>
      <c r="D179" s="3"/>
      <c r="E179" s="3"/>
      <c r="F179" s="8"/>
      <c r="G179" s="3"/>
      <c r="H179" s="3"/>
      <c r="I179" s="3"/>
      <c r="J179" s="8"/>
      <c r="K179" s="3"/>
      <c r="L179" s="3"/>
      <c r="M179" s="3"/>
      <c r="N179" s="8"/>
      <c r="P179" s="3"/>
      <c r="Q179" s="3"/>
      <c r="R179" s="8"/>
      <c r="S179" s="3"/>
      <c r="T179" s="3"/>
      <c r="U179" s="3"/>
      <c r="V179" s="8"/>
      <c r="W179" s="3"/>
      <c r="X179" s="3"/>
      <c r="Y179" s="3"/>
      <c r="Z179" s="8"/>
    </row>
    <row r="180" spans="1:26" s="23" customFormat="1" x14ac:dyDescent="0.3">
      <c r="A180" s="52"/>
      <c r="B180" s="10" t="s">
        <v>184</v>
      </c>
      <c r="C180" s="10"/>
      <c r="D180" s="4">
        <f>--134736.5</f>
        <v>134736.5</v>
      </c>
      <c r="E180" s="4"/>
      <c r="F180" s="12">
        <f t="shared" ref="F180:F181" si="132">IF(D$12=0,0,D180/D$12)</f>
        <v>5.4142939804289691E-2</v>
      </c>
      <c r="G180" s="4"/>
      <c r="H180" s="4">
        <f t="shared" ref="H180:H181" si="133">--15000</f>
        <v>15000</v>
      </c>
      <c r="I180" s="4"/>
      <c r="J180" s="12">
        <f t="shared" ref="J180:J181" si="134">IF(H$12=0,0,H180/H$12)</f>
        <v>4.1257495455486876E-3</v>
      </c>
      <c r="K180" s="4"/>
      <c r="L180" s="4">
        <f t="shared" ref="L180:L181" si="135">+D180-H180</f>
        <v>119736.5</v>
      </c>
      <c r="M180" s="4"/>
      <c r="N180" s="12">
        <f t="shared" ref="N180:N181" si="136">IF(H180=0,0,L180/H180)</f>
        <v>7.9824333333333337</v>
      </c>
      <c r="O180" s="10"/>
      <c r="P180" s="4">
        <f>--152858.8</f>
        <v>152858.79999999999</v>
      </c>
      <c r="Q180" s="4"/>
      <c r="R180" s="12">
        <f t="shared" ref="R180:R181" si="137">IF(P$12=0,0,P180/P$12)</f>
        <v>5.1077522989476536E-2</v>
      </c>
      <c r="S180" s="4"/>
      <c r="T180" s="4">
        <f t="shared" ref="T180:T181" si="138">--30000</f>
        <v>30000</v>
      </c>
      <c r="U180" s="4"/>
      <c r="V180" s="12">
        <f t="shared" ref="V180:V181" si="139">IF(T$12=0,0,T180/T$12)</f>
        <v>6.9862145685395385E-3</v>
      </c>
      <c r="W180" s="4"/>
      <c r="X180" s="4">
        <f t="shared" ref="X180:X181" si="140">+P180-T180</f>
        <v>122858.79999999999</v>
      </c>
      <c r="Y180" s="4"/>
      <c r="Z180" s="12">
        <f t="shared" ref="Z180:Z181" si="141">IF(T180=0,0,X180/T180)</f>
        <v>4.0952933333333332</v>
      </c>
    </row>
    <row r="181" spans="1:26" s="23" customFormat="1" x14ac:dyDescent="0.3">
      <c r="A181" s="52"/>
      <c r="B181" s="10" t="s">
        <v>82</v>
      </c>
      <c r="C181" s="10"/>
      <c r="D181" s="4">
        <f>--12034.07</f>
        <v>12034.07</v>
      </c>
      <c r="E181" s="4"/>
      <c r="F181" s="12">
        <f t="shared" si="132"/>
        <v>4.8358086161552991E-3</v>
      </c>
      <c r="G181" s="4"/>
      <c r="H181" s="4">
        <f t="shared" si="133"/>
        <v>15000</v>
      </c>
      <c r="I181" s="4"/>
      <c r="J181" s="12">
        <f t="shared" si="134"/>
        <v>4.1257495455486876E-3</v>
      </c>
      <c r="K181" s="4"/>
      <c r="L181" s="4">
        <f t="shared" si="135"/>
        <v>-2965.9300000000003</v>
      </c>
      <c r="M181" s="4"/>
      <c r="N181" s="12">
        <f t="shared" si="136"/>
        <v>-0.19772866666666669</v>
      </c>
      <c r="O181" s="10"/>
      <c r="P181" s="4">
        <f>--22216.49</f>
        <v>22216.49</v>
      </c>
      <c r="Q181" s="4"/>
      <c r="R181" s="12">
        <f t="shared" si="137"/>
        <v>7.4236045207765316E-3</v>
      </c>
      <c r="S181" s="4"/>
      <c r="T181" s="4">
        <f t="shared" si="138"/>
        <v>30000</v>
      </c>
      <c r="U181" s="4"/>
      <c r="V181" s="12">
        <f t="shared" si="139"/>
        <v>6.9862145685395385E-3</v>
      </c>
      <c r="W181" s="4"/>
      <c r="X181" s="4">
        <f t="shared" si="140"/>
        <v>-7783.5099999999984</v>
      </c>
      <c r="Y181" s="4"/>
      <c r="Z181" s="12">
        <f t="shared" si="141"/>
        <v>-0.25945033333333328</v>
      </c>
    </row>
    <row r="182" spans="1:26" x14ac:dyDescent="0.3">
      <c r="A182" s="9"/>
      <c r="B182" s="9"/>
      <c r="C182" s="9"/>
      <c r="D182" s="3"/>
      <c r="E182" s="3"/>
      <c r="F182" s="8"/>
      <c r="G182" s="3"/>
      <c r="H182" s="3"/>
      <c r="I182" s="3"/>
      <c r="J182" s="8"/>
      <c r="K182" s="3"/>
      <c r="L182" s="3"/>
      <c r="M182" s="3"/>
      <c r="N182" s="8"/>
      <c r="P182" s="3"/>
      <c r="Q182" s="3"/>
      <c r="R182" s="8"/>
      <c r="S182" s="3"/>
      <c r="T182" s="3"/>
      <c r="U182" s="3"/>
      <c r="V182" s="8"/>
      <c r="W182" s="3"/>
      <c r="X182" s="3"/>
      <c r="Y182" s="3"/>
      <c r="Z182" s="8"/>
    </row>
    <row r="183" spans="1:26" s="23" customFormat="1" ht="15" thickBot="1" x14ac:dyDescent="0.35">
      <c r="A183" s="10"/>
      <c r="B183" s="26" t="s">
        <v>294</v>
      </c>
      <c r="C183" s="26"/>
      <c r="D183" s="32">
        <f>SUM(D178:D182)</f>
        <v>182387.58999999939</v>
      </c>
      <c r="E183" s="13"/>
      <c r="F183" s="34">
        <f>IF(D$12=0,0,D183/D$12)</f>
        <v>7.3291203990154374E-2</v>
      </c>
      <c r="G183" s="13"/>
      <c r="H183" s="32">
        <f>SUM(H178:H182)</f>
        <v>-24723.351449344773</v>
      </c>
      <c r="I183" s="13"/>
      <c r="J183" s="34">
        <f>IF(H$12=0,0,H183/H$12)</f>
        <v>-6.8001570671049789E-3</v>
      </c>
      <c r="K183" s="16"/>
      <c r="L183" s="32">
        <f>+D183-H183</f>
        <v>207110.94144934416</v>
      </c>
      <c r="M183" s="16"/>
      <c r="N183" s="34">
        <f>IF(H183=0,0,L183/H183)</f>
        <v>-8.3771385879333558</v>
      </c>
      <c r="O183" s="25"/>
      <c r="P183" s="32">
        <f>SUM(P178:P182)</f>
        <v>-585945.62999999989</v>
      </c>
      <c r="Q183" s="13"/>
      <c r="R183" s="34">
        <f>IF(P$12=0,0,P183/P$12)</f>
        <v>-0.19579279300183117</v>
      </c>
      <c r="S183" s="13"/>
      <c r="T183" s="32">
        <f>SUM(T178:T182)</f>
        <v>-993878.49126621895</v>
      </c>
      <c r="U183" s="13"/>
      <c r="V183" s="34">
        <f>IF(T$12=0,0,T183/T$12)</f>
        <v>-0.23144827983473851</v>
      </c>
      <c r="W183" s="16"/>
      <c r="X183" s="32">
        <f>+P183-T183</f>
        <v>407932.86126621906</v>
      </c>
      <c r="Y183" s="16"/>
      <c r="Z183" s="34">
        <f>IF(T183=0,0,X183/T183)</f>
        <v>-0.41044540640627536</v>
      </c>
    </row>
    <row r="184" spans="1:26" ht="15" thickTop="1" x14ac:dyDescent="0.3">
      <c r="A184" s="9"/>
      <c r="C184" s="9"/>
      <c r="D184" s="17"/>
      <c r="E184" s="17"/>
      <c r="G184" s="17"/>
      <c r="H184" s="17"/>
      <c r="I184" s="17"/>
      <c r="J184" s="42"/>
      <c r="K184" s="17"/>
      <c r="L184" s="17"/>
      <c r="M184" s="17"/>
      <c r="P184" s="17"/>
      <c r="Q184" s="17"/>
      <c r="R184" s="42"/>
      <c r="S184" s="17"/>
      <c r="T184" s="17"/>
      <c r="U184" s="17"/>
      <c r="V184" s="42"/>
      <c r="W184" s="17"/>
      <c r="X184" s="17"/>
    </row>
    <row r="185" spans="1:26" x14ac:dyDescent="0.3">
      <c r="A185" s="9"/>
      <c r="B185" s="61">
        <v>44470.835441932868</v>
      </c>
      <c r="D185" s="17"/>
      <c r="E185" s="17"/>
      <c r="G185" s="17"/>
      <c r="H185" s="17"/>
      <c r="I185" s="17"/>
      <c r="J185" s="42"/>
      <c r="K185" s="17"/>
      <c r="L185" s="17"/>
      <c r="M185" s="17"/>
      <c r="P185" s="17"/>
      <c r="Q185" s="17"/>
      <c r="R185" s="42"/>
      <c r="S185" s="17"/>
      <c r="T185" s="17"/>
      <c r="U185" s="17"/>
      <c r="V185" s="42"/>
      <c r="W185" s="17"/>
      <c r="X185" s="17"/>
    </row>
    <row r="186" spans="1:26" x14ac:dyDescent="0.3">
      <c r="A186" s="9"/>
      <c r="B186" s="58" t="s">
        <v>56</v>
      </c>
      <c r="D186" s="17"/>
      <c r="E186" s="17"/>
      <c r="G186" s="17"/>
      <c r="H186" s="17"/>
      <c r="I186" s="17"/>
      <c r="J186" s="42"/>
      <c r="K186" s="17"/>
      <c r="L186" s="17"/>
      <c r="M186" s="17"/>
      <c r="P186" s="17"/>
      <c r="Q186" s="17"/>
      <c r="R186" s="42"/>
      <c r="S186" s="17"/>
      <c r="T186" s="17"/>
      <c r="U186" s="17"/>
      <c r="V186" s="42"/>
      <c r="W186" s="17"/>
      <c r="X186" s="17"/>
    </row>
    <row r="187" spans="1:26" x14ac:dyDescent="0.3">
      <c r="A187" s="9"/>
      <c r="B187" s="55"/>
      <c r="D187" s="17"/>
      <c r="E187" s="17"/>
      <c r="G187" s="17"/>
      <c r="H187" s="17"/>
      <c r="I187" s="17"/>
      <c r="J187" s="42"/>
      <c r="K187" s="17"/>
      <c r="L187" s="17"/>
      <c r="M187" s="17"/>
      <c r="P187" s="17"/>
      <c r="Q187" s="17"/>
      <c r="R187" s="42"/>
      <c r="S187" s="17"/>
      <c r="T187" s="17"/>
      <c r="U187" s="17"/>
      <c r="V187" s="42"/>
      <c r="W187" s="17"/>
      <c r="X187" s="17"/>
    </row>
    <row r="188" spans="1:26" x14ac:dyDescent="0.3">
      <c r="D188" s="17"/>
      <c r="E188" s="17"/>
      <c r="G188" s="17"/>
      <c r="H188" s="17"/>
      <c r="I188" s="17"/>
      <c r="J188" s="42"/>
      <c r="K188" s="17"/>
      <c r="L188" s="17"/>
      <c r="M188" s="17"/>
      <c r="P188" s="17"/>
      <c r="Q188" s="17"/>
      <c r="R188" s="42"/>
      <c r="S188" s="17"/>
      <c r="T188" s="17"/>
      <c r="U188" s="17"/>
      <c r="V188" s="42"/>
      <c r="W188" s="17"/>
      <c r="X188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55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106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106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183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183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","100", " - ", "Corporate")</f>
        <v>Department 100 - Corporate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SUM(0)</f>
        <v>0</v>
      </c>
      <c r="E18" s="22"/>
      <c r="F18" s="31">
        <f>IF(D$12=0,0,D18/D$12)</f>
        <v>0</v>
      </c>
      <c r="G18" s="22"/>
      <c r="H18" s="22">
        <f>SUM(0)</f>
        <v>0</v>
      </c>
      <c r="I18" s="22"/>
      <c r="J18" s="31">
        <f>IF(H$12=0,0,H18/H$12)</f>
        <v>0</v>
      </c>
      <c r="K18" s="4"/>
      <c r="L18" s="22">
        <f>+D18-H18</f>
        <v>0</v>
      </c>
      <c r="M18" s="4"/>
      <c r="N18" s="31">
        <f>IF(H18=0,0,L18/H18)</f>
        <v>0</v>
      </c>
      <c r="O18" s="10"/>
      <c r="P18" s="22">
        <f>SUM(0)</f>
        <v>0</v>
      </c>
      <c r="Q18" s="22"/>
      <c r="R18" s="31">
        <f>IF(P$12=0,0,P18/P$12)</f>
        <v>0</v>
      </c>
      <c r="S18" s="22"/>
      <c r="T18" s="22">
        <f>SUM(0)</f>
        <v>0</v>
      </c>
      <c r="U18" s="22"/>
      <c r="V18" s="31">
        <f>IF(T$12=0,0,T18/T$12)</f>
        <v>0</v>
      </c>
      <c r="W18" s="4"/>
      <c r="X18" s="22">
        <f>+P18-T18</f>
        <v>0</v>
      </c>
      <c r="Y18" s="4"/>
      <c r="Z18" s="31">
        <f>IF(T18=0,0,X18/T18)</f>
        <v>0</v>
      </c>
    </row>
    <row r="19" spans="1:26" s="53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277</v>
      </c>
      <c r="C22" s="26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5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6" t="s">
        <v>126</v>
      </c>
      <c r="C26" s="26"/>
      <c r="D26" s="30">
        <f>+D22-D24</f>
        <v>0</v>
      </c>
      <c r="E26" s="13"/>
      <c r="F26" s="35">
        <f>IF(D$12=0,0,D26/D$12)</f>
        <v>0</v>
      </c>
      <c r="G26" s="13"/>
      <c r="H26" s="30">
        <f>+H22-H24</f>
        <v>0</v>
      </c>
      <c r="I26" s="13"/>
      <c r="J26" s="35">
        <f>IF(H$12=0,0,H26/H$12)</f>
        <v>0</v>
      </c>
      <c r="K26" s="16"/>
      <c r="L26" s="30">
        <f>D26-H26</f>
        <v>0</v>
      </c>
      <c r="M26" s="16"/>
      <c r="N26" s="35">
        <f>IF(H26=0,0,L26/H26)</f>
        <v>0</v>
      </c>
      <c r="O26" s="25"/>
      <c r="P26" s="30">
        <f>+P22-P24</f>
        <v>0</v>
      </c>
      <c r="Q26" s="13"/>
      <c r="R26" s="35">
        <f>IF(P$12=0,0,P26/P$12)</f>
        <v>0</v>
      </c>
      <c r="S26" s="13"/>
      <c r="T26" s="30">
        <f>+T22-T24</f>
        <v>0</v>
      </c>
      <c r="U26" s="13"/>
      <c r="V26" s="35">
        <f>IF(T$12=0,0,T26/T$12)</f>
        <v>0</v>
      </c>
      <c r="W26" s="16"/>
      <c r="X26" s="30">
        <f>P26-T26</f>
        <v>0</v>
      </c>
      <c r="Y26" s="16"/>
      <c r="Z26" s="35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184</v>
      </c>
      <c r="C28" s="10"/>
      <c r="D28" s="4">
        <f>--134736.5</f>
        <v>134736.5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119736.5</v>
      </c>
      <c r="M28" s="4"/>
      <c r="N28" s="12">
        <f t="shared" ref="N28:N29" si="4">IF(H28=0,0,L28/H28)</f>
        <v>7.9824333333333337</v>
      </c>
      <c r="O28" s="10"/>
      <c r="P28" s="4">
        <f>--152858.8</f>
        <v>152858.79999999999</v>
      </c>
      <c r="Q28" s="4"/>
      <c r="R28" s="12">
        <f t="shared" ref="R28:R29" si="5">IF(P$12=0,0,P28/P$12)</f>
        <v>0</v>
      </c>
      <c r="S28" s="4"/>
      <c r="T28" s="4">
        <f t="shared" ref="T28:T29" si="6">--30000</f>
        <v>30000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122858.79999999999</v>
      </c>
      <c r="Y28" s="4"/>
      <c r="Z28" s="12">
        <f t="shared" ref="Z28:Z29" si="9">IF(T28=0,0,X28/T28)</f>
        <v>4.0952933333333332</v>
      </c>
    </row>
    <row r="29" spans="1:26" s="23" customFormat="1" x14ac:dyDescent="0.3">
      <c r="A29" s="52"/>
      <c r="B29" s="10" t="s">
        <v>82</v>
      </c>
      <c r="C29" s="10"/>
      <c r="D29" s="4">
        <f>--12034.07</f>
        <v>12034.07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-2965.9300000000003</v>
      </c>
      <c r="M29" s="4"/>
      <c r="N29" s="12">
        <f t="shared" si="4"/>
        <v>-0.19772866666666669</v>
      </c>
      <c r="O29" s="10"/>
      <c r="P29" s="4">
        <f>--22216.49</f>
        <v>22216.49</v>
      </c>
      <c r="Q29" s="4"/>
      <c r="R29" s="12">
        <f t="shared" si="5"/>
        <v>0</v>
      </c>
      <c r="S29" s="4"/>
      <c r="T29" s="4">
        <f t="shared" si="6"/>
        <v>30000</v>
      </c>
      <c r="U29" s="4"/>
      <c r="V29" s="12">
        <f t="shared" si="7"/>
        <v>0</v>
      </c>
      <c r="W29" s="4"/>
      <c r="X29" s="4">
        <f t="shared" si="8"/>
        <v>-7783.5099999999984</v>
      </c>
      <c r="Y29" s="4"/>
      <c r="Z29" s="12">
        <f t="shared" si="9"/>
        <v>-0.25945033333333328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294</v>
      </c>
      <c r="C31" s="26"/>
      <c r="D31" s="32">
        <f>SUM(D26:D30)</f>
        <v>146770.57</v>
      </c>
      <c r="E31" s="13"/>
      <c r="F31" s="34">
        <f>IF(D$12=0,0,D31/D$12)</f>
        <v>0</v>
      </c>
      <c r="G31" s="13"/>
      <c r="H31" s="32">
        <f>SUM(H26:H30)</f>
        <v>30000</v>
      </c>
      <c r="I31" s="13"/>
      <c r="J31" s="34">
        <f>IF(H$12=0,0,H31/H$12)</f>
        <v>0</v>
      </c>
      <c r="K31" s="16"/>
      <c r="L31" s="32">
        <f>+D31-H31</f>
        <v>116770.57</v>
      </c>
      <c r="M31" s="16"/>
      <c r="N31" s="34">
        <f>IF(H31=0,0,L31/H31)</f>
        <v>3.8923523333333336</v>
      </c>
      <c r="O31" s="25"/>
      <c r="P31" s="32">
        <f>SUM(P26:P30)</f>
        <v>175075.28999999998</v>
      </c>
      <c r="Q31" s="13"/>
      <c r="R31" s="34">
        <f>IF(P$12=0,0,P31/P$12)</f>
        <v>0</v>
      </c>
      <c r="S31" s="13"/>
      <c r="T31" s="32">
        <f>SUM(T26:T30)</f>
        <v>60000</v>
      </c>
      <c r="U31" s="13"/>
      <c r="V31" s="34">
        <f>IF(T$12=0,0,T31/T$12)</f>
        <v>0</v>
      </c>
      <c r="W31" s="16"/>
      <c r="X31" s="32">
        <f>+P31-T31</f>
        <v>115075.28999999998</v>
      </c>
      <c r="Y31" s="16"/>
      <c r="Z31" s="34">
        <f>IF(T31=0,0,X31/T31)</f>
        <v>1.9179214999999996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61">
        <v>44470.835499687499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8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5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313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139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214290.75</v>
      </c>
      <c r="E18" s="22"/>
      <c r="F18" s="31">
        <f t="shared" ref="F18:F30" si="0">IF(D$12=0,0,D18/D$12)</f>
        <v>0</v>
      </c>
      <c r="G18" s="22"/>
      <c r="H18" s="22">
        <f>SUM(OSRRefH22x_0)</f>
        <v>242457.21559984001</v>
      </c>
      <c r="I18" s="22"/>
      <c r="J18" s="31">
        <f t="shared" ref="J18:J30" si="1">IF(H$12=0,0,H18/H$12)</f>
        <v>0</v>
      </c>
      <c r="K18" s="4"/>
      <c r="L18" s="22">
        <f t="shared" ref="L18:L30" si="2">+D18-H18</f>
        <v>-28166.465599840012</v>
      </c>
      <c r="M18" s="4"/>
      <c r="N18" s="31">
        <f t="shared" ref="N18:N30" si="3">IF(H18=0,0,L18/H18)</f>
        <v>-0.11617086969408634</v>
      </c>
      <c r="O18" s="10"/>
      <c r="P18" s="22">
        <f>SUM(OSRRefP22x_0)</f>
        <v>447205.60999999993</v>
      </c>
      <c r="Q18" s="22"/>
      <c r="R18" s="31">
        <f t="shared" ref="R18:R30" si="4">IF(P$12=0,0,P18/P$12)</f>
        <v>0</v>
      </c>
      <c r="S18" s="22"/>
      <c r="T18" s="22">
        <f>SUM(OSRRefT22x_0)</f>
        <v>515922.23509963986</v>
      </c>
      <c r="U18" s="22"/>
      <c r="V18" s="31">
        <f t="shared" ref="V18:V30" si="5">IF(T$12=0,0,T18/T$12)</f>
        <v>0</v>
      </c>
      <c r="W18" s="4"/>
      <c r="X18" s="22">
        <f t="shared" ref="X18:X30" si="6">+P18-T18</f>
        <v>-68716.625099639932</v>
      </c>
      <c r="Y18" s="4"/>
      <c r="Z18" s="31">
        <f t="shared" ref="Z18:Z30" si="7">IF(T18=0,0,X18/T18)</f>
        <v>-0.13319182703255408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79002.249999999985</v>
      </c>
      <c r="E19" s="1"/>
      <c r="F19" s="5">
        <f t="shared" si="0"/>
        <v>0</v>
      </c>
      <c r="G19" s="1"/>
      <c r="H19" s="1">
        <f>SUM(OSRRefH22_0x_0)</f>
        <v>82550.3636859939</v>
      </c>
      <c r="I19" s="1"/>
      <c r="J19" s="5">
        <f t="shared" si="1"/>
        <v>0</v>
      </c>
      <c r="K19" s="1"/>
      <c r="L19" s="1">
        <f t="shared" si="2"/>
        <v>-3548.1136859939143</v>
      </c>
      <c r="M19" s="1"/>
      <c r="N19" s="5">
        <f t="shared" si="3"/>
        <v>-4.2981199931356733E-2</v>
      </c>
      <c r="O19" s="14"/>
      <c r="P19" s="1">
        <f>SUM(OSRRefP22_0x_0)</f>
        <v>157203.66999999998</v>
      </c>
      <c r="Q19" s="1"/>
      <c r="R19" s="5">
        <f t="shared" si="4"/>
        <v>0</v>
      </c>
      <c r="S19" s="1"/>
      <c r="T19" s="1">
        <f>SUM(OSRRefT22_0x_0)</f>
        <v>172097.8182934862</v>
      </c>
      <c r="U19" s="1"/>
      <c r="V19" s="5">
        <f t="shared" si="5"/>
        <v>0</v>
      </c>
      <c r="W19" s="1"/>
      <c r="X19" s="1">
        <f t="shared" si="6"/>
        <v>-14894.148293486214</v>
      </c>
      <c r="Y19" s="1"/>
      <c r="Z19" s="5">
        <f t="shared" si="7"/>
        <v>-8.6544666522654856E-2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7400.56</v>
      </c>
      <c r="E20" s="2"/>
      <c r="F20" s="7">
        <f t="shared" si="0"/>
        <v>0</v>
      </c>
      <c r="G20" s="2"/>
      <c r="H20" s="6">
        <v>7380.2394505476896</v>
      </c>
      <c r="I20" s="2"/>
      <c r="J20" s="7">
        <f t="shared" si="1"/>
        <v>0</v>
      </c>
      <c r="K20" s="2"/>
      <c r="L20" s="6">
        <f t="shared" si="2"/>
        <v>20.320549452310843</v>
      </c>
      <c r="M20" s="2"/>
      <c r="N20" s="7">
        <f t="shared" si="3"/>
        <v>2.7533726498268087E-3</v>
      </c>
      <c r="O20" s="11"/>
      <c r="P20" s="6">
        <v>14808.07</v>
      </c>
      <c r="Q20" s="2"/>
      <c r="R20" s="7">
        <f t="shared" si="4"/>
        <v>0</v>
      </c>
      <c r="S20" s="2"/>
      <c r="T20" s="6">
        <v>16605.5387637323</v>
      </c>
      <c r="U20" s="2"/>
      <c r="V20" s="7">
        <f t="shared" si="5"/>
        <v>0</v>
      </c>
      <c r="W20" s="2"/>
      <c r="X20" s="6">
        <f t="shared" si="6"/>
        <v>-1797.4687637323004</v>
      </c>
      <c r="Y20" s="2"/>
      <c r="Z20" s="7">
        <f t="shared" si="7"/>
        <v>-0.10824513370551411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1432.38</v>
      </c>
      <c r="E21" s="2"/>
      <c r="F21" s="7">
        <f t="shared" si="0"/>
        <v>0</v>
      </c>
      <c r="G21" s="2"/>
      <c r="H21" s="6">
        <v>599.17389095384601</v>
      </c>
      <c r="I21" s="2"/>
      <c r="J21" s="7">
        <f t="shared" si="1"/>
        <v>0</v>
      </c>
      <c r="K21" s="2"/>
      <c r="L21" s="6">
        <f t="shared" si="2"/>
        <v>833.2061090461541</v>
      </c>
      <c r="M21" s="2"/>
      <c r="N21" s="7">
        <f t="shared" si="3"/>
        <v>1.3905914820816774</v>
      </c>
      <c r="O21" s="11"/>
      <c r="P21" s="6">
        <v>2856.75</v>
      </c>
      <c r="Q21" s="2"/>
      <c r="R21" s="7">
        <f t="shared" si="4"/>
        <v>0</v>
      </c>
      <c r="S21" s="2"/>
      <c r="T21" s="6">
        <v>1348.1412546461499</v>
      </c>
      <c r="U21" s="2"/>
      <c r="V21" s="7">
        <f t="shared" si="5"/>
        <v>0</v>
      </c>
      <c r="W21" s="2"/>
      <c r="X21" s="6">
        <f t="shared" si="6"/>
        <v>1508.6087453538501</v>
      </c>
      <c r="Y21" s="2"/>
      <c r="Z21" s="7">
        <f t="shared" si="7"/>
        <v>1.1190286923975326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22410.55</v>
      </c>
      <c r="E22" s="2"/>
      <c r="F22" s="7">
        <f t="shared" si="0"/>
        <v>0</v>
      </c>
      <c r="G22" s="2"/>
      <c r="H22" s="6">
        <v>22944.538461538501</v>
      </c>
      <c r="I22" s="2"/>
      <c r="J22" s="7">
        <f t="shared" si="1"/>
        <v>0</v>
      </c>
      <c r="K22" s="2"/>
      <c r="L22" s="6">
        <f t="shared" si="2"/>
        <v>-533.98846153850172</v>
      </c>
      <c r="M22" s="2"/>
      <c r="N22" s="7">
        <f t="shared" si="3"/>
        <v>-2.3273009497820869E-2</v>
      </c>
      <c r="O22" s="11"/>
      <c r="P22" s="6">
        <v>44821.1</v>
      </c>
      <c r="Q22" s="2"/>
      <c r="R22" s="7">
        <f t="shared" si="4"/>
        <v>0</v>
      </c>
      <c r="S22" s="2"/>
      <c r="T22" s="6">
        <v>47426.461538461503</v>
      </c>
      <c r="U22" s="2"/>
      <c r="V22" s="7">
        <f t="shared" si="5"/>
        <v>0</v>
      </c>
      <c r="W22" s="2"/>
      <c r="X22" s="6">
        <f t="shared" si="6"/>
        <v>-2605.3615384615041</v>
      </c>
      <c r="Y22" s="2"/>
      <c r="Z22" s="7">
        <f t="shared" si="7"/>
        <v>-5.4934765401981979E-2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250.67</v>
      </c>
      <c r="E23" s="2"/>
      <c r="F23" s="7">
        <f t="shared" si="0"/>
        <v>0</v>
      </c>
      <c r="G23" s="2"/>
      <c r="H23" s="6">
        <v>215.115390646154</v>
      </c>
      <c r="I23" s="2"/>
      <c r="J23" s="7">
        <f t="shared" si="1"/>
        <v>0</v>
      </c>
      <c r="K23" s="2"/>
      <c r="L23" s="6">
        <f t="shared" si="2"/>
        <v>35.55460935384599</v>
      </c>
      <c r="M23" s="2"/>
      <c r="N23" s="7">
        <f t="shared" si="3"/>
        <v>0.16528156933378241</v>
      </c>
      <c r="O23" s="11"/>
      <c r="P23" s="6">
        <v>502.14</v>
      </c>
      <c r="Q23" s="2"/>
      <c r="R23" s="7">
        <f t="shared" si="4"/>
        <v>0</v>
      </c>
      <c r="S23" s="2"/>
      <c r="T23" s="6">
        <v>484.009628953846</v>
      </c>
      <c r="U23" s="2"/>
      <c r="V23" s="7">
        <f t="shared" si="5"/>
        <v>0</v>
      </c>
      <c r="W23" s="2"/>
      <c r="X23" s="6">
        <f t="shared" si="6"/>
        <v>18.130371046153982</v>
      </c>
      <c r="Y23" s="2"/>
      <c r="Z23" s="7">
        <f t="shared" si="7"/>
        <v>3.7458699086920129E-2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7497.95</v>
      </c>
      <c r="E24" s="2"/>
      <c r="F24" s="7">
        <f t="shared" si="0"/>
        <v>0</v>
      </c>
      <c r="G24" s="2"/>
      <c r="H24" s="6">
        <v>5940.8879384615402</v>
      </c>
      <c r="I24" s="2"/>
      <c r="J24" s="7">
        <f t="shared" si="1"/>
        <v>0</v>
      </c>
      <c r="K24" s="2"/>
      <c r="L24" s="6">
        <f t="shared" si="2"/>
        <v>1557.0620615384596</v>
      </c>
      <c r="M24" s="2"/>
      <c r="N24" s="7">
        <f t="shared" si="3"/>
        <v>0.26209248140467001</v>
      </c>
      <c r="O24" s="11"/>
      <c r="P24" s="6">
        <v>14995.9</v>
      </c>
      <c r="Q24" s="2"/>
      <c r="R24" s="7">
        <f t="shared" si="4"/>
        <v>0</v>
      </c>
      <c r="S24" s="2"/>
      <c r="T24" s="6">
        <v>13366.997861538501</v>
      </c>
      <c r="U24" s="2"/>
      <c r="V24" s="7">
        <f t="shared" si="5"/>
        <v>0</v>
      </c>
      <c r="W24" s="2"/>
      <c r="X24" s="6">
        <f t="shared" si="6"/>
        <v>1628.9021384614989</v>
      </c>
      <c r="Y24" s="2"/>
      <c r="Z24" s="7">
        <f t="shared" si="7"/>
        <v>0.12185998347081484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417</v>
      </c>
      <c r="I25" s="2"/>
      <c r="J25" s="7">
        <f t="shared" si="1"/>
        <v>0</v>
      </c>
      <c r="K25" s="2"/>
      <c r="L25" s="6">
        <f t="shared" si="2"/>
        <v>-417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834</v>
      </c>
      <c r="U25" s="2"/>
      <c r="V25" s="7">
        <f t="shared" si="5"/>
        <v>0</v>
      </c>
      <c r="W25" s="2"/>
      <c r="X25" s="6">
        <f t="shared" si="6"/>
        <v>-834</v>
      </c>
      <c r="Y25" s="2"/>
      <c r="Z25" s="7">
        <f t="shared" si="7"/>
        <v>-1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939.2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939.2</v>
      </c>
      <c r="M26" s="2"/>
      <c r="N26" s="7">
        <f t="shared" si="3"/>
        <v>0</v>
      </c>
      <c r="O26" s="11"/>
      <c r="P26" s="6">
        <v>1542.68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1542.68</v>
      </c>
      <c r="Y26" s="2"/>
      <c r="Z26" s="7">
        <f t="shared" si="7"/>
        <v>0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6">
        <v>6468.2</v>
      </c>
      <c r="E27" s="2"/>
      <c r="F27" s="7">
        <f t="shared" si="0"/>
        <v>0</v>
      </c>
      <c r="G27" s="2"/>
      <c r="H27" s="6">
        <v>4165.0268553846199</v>
      </c>
      <c r="I27" s="2"/>
      <c r="J27" s="7">
        <f t="shared" si="1"/>
        <v>0</v>
      </c>
      <c r="K27" s="2"/>
      <c r="L27" s="6">
        <f t="shared" si="2"/>
        <v>2303.1731446153799</v>
      </c>
      <c r="M27" s="2"/>
      <c r="N27" s="7">
        <f t="shared" si="3"/>
        <v>0.55297918226812803</v>
      </c>
      <c r="O27" s="11"/>
      <c r="P27" s="6">
        <v>12834.41</v>
      </c>
      <c r="Q27" s="2"/>
      <c r="R27" s="7">
        <f t="shared" si="4"/>
        <v>0</v>
      </c>
      <c r="S27" s="2"/>
      <c r="T27" s="6">
        <v>9371.3104246153998</v>
      </c>
      <c r="U27" s="2"/>
      <c r="V27" s="7">
        <f t="shared" si="5"/>
        <v>0</v>
      </c>
      <c r="W27" s="2"/>
      <c r="X27" s="6">
        <f t="shared" si="6"/>
        <v>3463.0995753846</v>
      </c>
      <c r="Y27" s="2"/>
      <c r="Z27" s="7">
        <f t="shared" si="7"/>
        <v>0.36954272331947924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6">
        <v>4256.4799999999996</v>
      </c>
      <c r="E28" s="2"/>
      <c r="F28" s="7">
        <f t="shared" si="0"/>
        <v>0</v>
      </c>
      <c r="G28" s="2"/>
      <c r="H28" s="6">
        <v>3538.3816984615501</v>
      </c>
      <c r="I28" s="2"/>
      <c r="J28" s="7">
        <f t="shared" si="1"/>
        <v>0</v>
      </c>
      <c r="K28" s="2"/>
      <c r="L28" s="6">
        <f t="shared" si="2"/>
        <v>718.0983015384495</v>
      </c>
      <c r="M28" s="2"/>
      <c r="N28" s="7">
        <f t="shared" si="3"/>
        <v>0.20294540350202209</v>
      </c>
      <c r="O28" s="11"/>
      <c r="P28" s="6">
        <v>8512.9599999999991</v>
      </c>
      <c r="Q28" s="2"/>
      <c r="R28" s="7">
        <f t="shared" si="4"/>
        <v>0</v>
      </c>
      <c r="S28" s="2"/>
      <c r="T28" s="6">
        <v>7961.3588215384798</v>
      </c>
      <c r="U28" s="2"/>
      <c r="V28" s="7">
        <f t="shared" si="5"/>
        <v>0</v>
      </c>
      <c r="W28" s="2"/>
      <c r="X28" s="6">
        <f t="shared" si="6"/>
        <v>551.60117846151934</v>
      </c>
      <c r="Y28" s="2"/>
      <c r="Z28" s="7">
        <f t="shared" si="7"/>
        <v>6.9284803112909576E-2</v>
      </c>
    </row>
    <row r="29" spans="1:26" s="24" customFormat="1" hidden="1" outlineLevel="2" x14ac:dyDescent="0.3">
      <c r="A29" s="27"/>
      <c r="B29" s="11" t="str">
        <f>CONCATENATE("          ", "6120", " - ", "RETIREES HEALTH INSURANCE")</f>
        <v xml:space="preserve">          6120 - RETIREES HEALTH INSURANCE</v>
      </c>
      <c r="C29" s="11"/>
      <c r="D29" s="6">
        <v>26975.06</v>
      </c>
      <c r="E29" s="2"/>
      <c r="F29" s="7">
        <f t="shared" si="0"/>
        <v>0</v>
      </c>
      <c r="G29" s="2"/>
      <c r="H29" s="6">
        <v>35000</v>
      </c>
      <c r="I29" s="2"/>
      <c r="J29" s="7">
        <f t="shared" si="1"/>
        <v>0</v>
      </c>
      <c r="K29" s="2"/>
      <c r="L29" s="6">
        <f t="shared" si="2"/>
        <v>-8024.9399999999987</v>
      </c>
      <c r="M29" s="2"/>
      <c r="N29" s="7">
        <f t="shared" si="3"/>
        <v>-0.22928399999999996</v>
      </c>
      <c r="O29" s="11"/>
      <c r="P29" s="6">
        <v>54111.12</v>
      </c>
      <c r="Q29" s="2"/>
      <c r="R29" s="7">
        <f t="shared" si="4"/>
        <v>0</v>
      </c>
      <c r="S29" s="2"/>
      <c r="T29" s="6">
        <v>70000</v>
      </c>
      <c r="U29" s="2"/>
      <c r="V29" s="7">
        <f t="shared" si="5"/>
        <v>0</v>
      </c>
      <c r="W29" s="2"/>
      <c r="X29" s="6">
        <f t="shared" si="6"/>
        <v>-15888.879999999997</v>
      </c>
      <c r="Y29" s="2"/>
      <c r="Z29" s="7">
        <f t="shared" si="7"/>
        <v>-0.22698399999999996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6">
        <v>1371.2</v>
      </c>
      <c r="E30" s="2"/>
      <c r="F30" s="7">
        <f t="shared" si="0"/>
        <v>0</v>
      </c>
      <c r="G30" s="2"/>
      <c r="H30" s="6">
        <v>2350</v>
      </c>
      <c r="I30" s="2"/>
      <c r="J30" s="7">
        <f t="shared" si="1"/>
        <v>0</v>
      </c>
      <c r="K30" s="2"/>
      <c r="L30" s="6">
        <f t="shared" si="2"/>
        <v>-978.8</v>
      </c>
      <c r="M30" s="2"/>
      <c r="N30" s="7">
        <f t="shared" si="3"/>
        <v>-0.41651063829787233</v>
      </c>
      <c r="O30" s="11"/>
      <c r="P30" s="6">
        <v>2218.54</v>
      </c>
      <c r="Q30" s="2"/>
      <c r="R30" s="7">
        <f t="shared" si="4"/>
        <v>0</v>
      </c>
      <c r="S30" s="2"/>
      <c r="T30" s="6">
        <v>4700</v>
      </c>
      <c r="U30" s="2"/>
      <c r="V30" s="7">
        <f t="shared" si="5"/>
        <v>0</v>
      </c>
      <c r="W30" s="2"/>
      <c r="X30" s="6">
        <f t="shared" si="6"/>
        <v>-2481.46</v>
      </c>
      <c r="Y30" s="2"/>
      <c r="Z30" s="7">
        <f t="shared" si="7"/>
        <v>-0.52797021276595746</v>
      </c>
    </row>
    <row r="31" spans="1:26" s="28" customFormat="1" outlineLevel="1" collapsed="1" x14ac:dyDescent="0.3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88432.98</v>
      </c>
      <c r="E31" s="1"/>
      <c r="F31" s="5">
        <f t="shared" ref="F31:F41" si="8">IF(D$12=0,0,D31/D$12)</f>
        <v>0</v>
      </c>
      <c r="G31" s="1"/>
      <c r="H31" s="1">
        <f>SUM(OSRRefH22_1x_0)</f>
        <v>93542.851913846098</v>
      </c>
      <c r="I31" s="1"/>
      <c r="J31" s="5">
        <f t="shared" ref="J31:J41" si="9">IF(H$12=0,0,H31/H$12)</f>
        <v>0</v>
      </c>
      <c r="K31" s="1"/>
      <c r="L31" s="1">
        <f t="shared" ref="L31:L41" si="10">+D31-H31</f>
        <v>-5109.871913846102</v>
      </c>
      <c r="M31" s="1"/>
      <c r="N31" s="5">
        <f t="shared" ref="N31:N41" si="11">IF(H31=0,0,L31/H31)</f>
        <v>-5.4626000910816201E-2</v>
      </c>
      <c r="O31" s="14"/>
      <c r="P31" s="1">
        <f>SUM(OSRRefP22_1x_0)</f>
        <v>203087.67</v>
      </c>
      <c r="Q31" s="1"/>
      <c r="R31" s="5">
        <f t="shared" ref="R31:R41" si="12">IF(P$12=0,0,P31/P$12)</f>
        <v>0</v>
      </c>
      <c r="S31" s="1"/>
      <c r="T31" s="1">
        <f>SUM(OSRRefT22_1x_0)</f>
        <v>210471.41680615369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-7383.7468061536783</v>
      </c>
      <c r="Y31" s="1"/>
      <c r="Z31" s="5">
        <f t="shared" ref="Z31:Z41" si="15">IF(T31=0,0,X31/T31)</f>
        <v>-3.5081945654189158E-2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>
        <v>21415.54</v>
      </c>
      <c r="E32" s="2"/>
      <c r="F32" s="7">
        <f t="shared" si="8"/>
        <v>0</v>
      </c>
      <c r="G32" s="2"/>
      <c r="H32" s="6">
        <v>27893.119999999999</v>
      </c>
      <c r="I32" s="2"/>
      <c r="J32" s="7">
        <f t="shared" si="9"/>
        <v>0</v>
      </c>
      <c r="K32" s="2"/>
      <c r="L32" s="6">
        <f t="shared" si="10"/>
        <v>-6477.5799999999981</v>
      </c>
      <c r="M32" s="2"/>
      <c r="N32" s="7">
        <f t="shared" si="11"/>
        <v>-0.23222859257049761</v>
      </c>
      <c r="O32" s="11"/>
      <c r="P32" s="6">
        <v>51377.88</v>
      </c>
      <c r="Q32" s="2"/>
      <c r="R32" s="7">
        <f t="shared" si="12"/>
        <v>0</v>
      </c>
      <c r="S32" s="2"/>
      <c r="T32" s="6">
        <v>62759.519999999997</v>
      </c>
      <c r="U32" s="2"/>
      <c r="V32" s="7">
        <f t="shared" si="13"/>
        <v>0</v>
      </c>
      <c r="W32" s="2"/>
      <c r="X32" s="6">
        <f t="shared" si="14"/>
        <v>-11381.64</v>
      </c>
      <c r="Y32" s="2"/>
      <c r="Z32" s="7">
        <f t="shared" si="15"/>
        <v>-0.1813532034661833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6">
        <v>46219.02</v>
      </c>
      <c r="E33" s="2"/>
      <c r="F33" s="7">
        <f t="shared" si="8"/>
        <v>0</v>
      </c>
      <c r="G33" s="2"/>
      <c r="H33" s="6">
        <v>35167.686153846102</v>
      </c>
      <c r="I33" s="2"/>
      <c r="J33" s="7">
        <f t="shared" si="9"/>
        <v>0</v>
      </c>
      <c r="K33" s="2"/>
      <c r="L33" s="6">
        <f t="shared" si="10"/>
        <v>11051.333846153895</v>
      </c>
      <c r="M33" s="2"/>
      <c r="N33" s="7">
        <f t="shared" si="11"/>
        <v>0.31424682868836595</v>
      </c>
      <c r="O33" s="11"/>
      <c r="P33" s="6">
        <v>103538.16</v>
      </c>
      <c r="Q33" s="2"/>
      <c r="R33" s="7">
        <f t="shared" si="12"/>
        <v>0</v>
      </c>
      <c r="S33" s="2"/>
      <c r="T33" s="6">
        <v>79127.293846153698</v>
      </c>
      <c r="U33" s="2"/>
      <c r="V33" s="7">
        <f t="shared" si="13"/>
        <v>0</v>
      </c>
      <c r="W33" s="2"/>
      <c r="X33" s="6">
        <f t="shared" si="14"/>
        <v>24410.866153846306</v>
      </c>
      <c r="Y33" s="2"/>
      <c r="Z33" s="7">
        <f t="shared" si="15"/>
        <v>0.3085012132641371</v>
      </c>
    </row>
    <row r="34" spans="1:26" s="24" customFormat="1" hidden="1" outlineLevel="2" x14ac:dyDescent="0.3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"6004", " - ", "STAFF HOURLY")</f>
        <v xml:space="preserve">          6004 - STAFF HOURLY</v>
      </c>
      <c r="C35" s="11"/>
      <c r="D35" s="6">
        <v>18220.169999999998</v>
      </c>
      <c r="E35" s="2"/>
      <c r="F35" s="7">
        <f t="shared" si="8"/>
        <v>0</v>
      </c>
      <c r="G35" s="2"/>
      <c r="H35" s="6">
        <v>24042.045760000001</v>
      </c>
      <c r="I35" s="2"/>
      <c r="J35" s="7">
        <f t="shared" si="9"/>
        <v>0</v>
      </c>
      <c r="K35" s="2"/>
      <c r="L35" s="6">
        <f t="shared" si="10"/>
        <v>-5821.8757600000026</v>
      </c>
      <c r="M35" s="2"/>
      <c r="N35" s="7">
        <f t="shared" si="11"/>
        <v>-0.24215392559006602</v>
      </c>
      <c r="O35" s="11"/>
      <c r="P35" s="6">
        <v>36301.06</v>
      </c>
      <c r="Q35" s="2"/>
      <c r="R35" s="7">
        <f t="shared" si="12"/>
        <v>0</v>
      </c>
      <c r="S35" s="2"/>
      <c r="T35" s="6">
        <v>54094.602959999997</v>
      </c>
      <c r="U35" s="2"/>
      <c r="V35" s="7">
        <f t="shared" si="13"/>
        <v>0</v>
      </c>
      <c r="W35" s="2"/>
      <c r="X35" s="6">
        <f t="shared" si="14"/>
        <v>-17793.542959999999</v>
      </c>
      <c r="Y35" s="2"/>
      <c r="Z35" s="7">
        <f t="shared" si="15"/>
        <v>-0.32893379350907431</v>
      </c>
    </row>
    <row r="36" spans="1:26" s="24" customFormat="1" hidden="1" outlineLevel="2" x14ac:dyDescent="0.3">
      <c r="A36" s="27"/>
      <c r="B36" s="11" t="str">
        <f>CONCATENATE("          ", "6005", " - ", "TEMPORARY WAGES-HOURLY")</f>
        <v xml:space="preserve">          6005 - TEMPORARY WAGES-HOURLY</v>
      </c>
      <c r="C36" s="11"/>
      <c r="D36" s="6">
        <v>974.25</v>
      </c>
      <c r="E36" s="2"/>
      <c r="F36" s="7">
        <f t="shared" si="8"/>
        <v>0</v>
      </c>
      <c r="G36" s="2"/>
      <c r="H36" s="6">
        <v>3880</v>
      </c>
      <c r="I36" s="2"/>
      <c r="J36" s="7">
        <f t="shared" si="9"/>
        <v>0</v>
      </c>
      <c r="K36" s="2"/>
      <c r="L36" s="6">
        <f t="shared" si="10"/>
        <v>-2905.75</v>
      </c>
      <c r="M36" s="2"/>
      <c r="N36" s="7">
        <f t="shared" si="11"/>
        <v>-0.74890463917525774</v>
      </c>
      <c r="O36" s="11"/>
      <c r="P36" s="6">
        <v>3001.25</v>
      </c>
      <c r="Q36" s="2"/>
      <c r="R36" s="7">
        <f t="shared" si="12"/>
        <v>0</v>
      </c>
      <c r="S36" s="2"/>
      <c r="T36" s="6">
        <v>8730</v>
      </c>
      <c r="U36" s="2"/>
      <c r="V36" s="7">
        <f t="shared" si="13"/>
        <v>0</v>
      </c>
      <c r="W36" s="2"/>
      <c r="X36" s="6">
        <f t="shared" si="14"/>
        <v>-5728.75</v>
      </c>
      <c r="Y36" s="2"/>
      <c r="Z36" s="7">
        <f t="shared" si="15"/>
        <v>-0.65621420389461627</v>
      </c>
    </row>
    <row r="37" spans="1:26" s="24" customFormat="1" hidden="1" outlineLevel="2" x14ac:dyDescent="0.3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6">
        <v>-1727</v>
      </c>
      <c r="E38" s="2"/>
      <c r="F38" s="7">
        <f t="shared" si="8"/>
        <v>0</v>
      </c>
      <c r="G38" s="2"/>
      <c r="H38" s="6">
        <v>2560</v>
      </c>
      <c r="I38" s="2"/>
      <c r="J38" s="7">
        <f t="shared" si="9"/>
        <v>0</v>
      </c>
      <c r="K38" s="2"/>
      <c r="L38" s="6">
        <f t="shared" si="10"/>
        <v>-4287</v>
      </c>
      <c r="M38" s="2"/>
      <c r="N38" s="7">
        <f t="shared" si="11"/>
        <v>-1.674609375</v>
      </c>
      <c r="O38" s="11"/>
      <c r="P38" s="6">
        <v>3767</v>
      </c>
      <c r="Q38" s="2"/>
      <c r="R38" s="7">
        <f t="shared" si="12"/>
        <v>0</v>
      </c>
      <c r="S38" s="2"/>
      <c r="T38" s="6">
        <v>5760</v>
      </c>
      <c r="U38" s="2"/>
      <c r="V38" s="7">
        <f t="shared" si="13"/>
        <v>0</v>
      </c>
      <c r="W38" s="2"/>
      <c r="X38" s="6">
        <f t="shared" si="14"/>
        <v>-1993</v>
      </c>
      <c r="Y38" s="2"/>
      <c r="Z38" s="7">
        <f t="shared" si="15"/>
        <v>-0.34600694444444446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>
        <v>3331</v>
      </c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3331</v>
      </c>
      <c r="M39" s="2"/>
      <c r="N39" s="7">
        <f t="shared" si="11"/>
        <v>0</v>
      </c>
      <c r="O39" s="11"/>
      <c r="P39" s="6">
        <v>5102.32</v>
      </c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5102.32</v>
      </c>
      <c r="Y39" s="2"/>
      <c r="Z39" s="7">
        <f t="shared" si="15"/>
        <v>0</v>
      </c>
    </row>
    <row r="40" spans="1:26" s="24" customFormat="1" hidden="1" outlineLevel="2" x14ac:dyDescent="0.3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4" customFormat="1" hidden="1" outlineLevel="2" x14ac:dyDescent="0.3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8"/>
        <v>0</v>
      </c>
      <c r="G41" s="2"/>
      <c r="H41" s="6">
        <v>0</v>
      </c>
      <c r="I41" s="2"/>
      <c r="J41" s="7">
        <f t="shared" si="9"/>
        <v>0</v>
      </c>
      <c r="K41" s="2"/>
      <c r="L41" s="6">
        <f t="shared" si="10"/>
        <v>0</v>
      </c>
      <c r="M41" s="2"/>
      <c r="N41" s="7">
        <f t="shared" si="11"/>
        <v>0</v>
      </c>
      <c r="O41" s="11"/>
      <c r="P41" s="6"/>
      <c r="Q41" s="2"/>
      <c r="R41" s="7">
        <f t="shared" si="12"/>
        <v>0</v>
      </c>
      <c r="S41" s="2"/>
      <c r="T41" s="6">
        <v>0</v>
      </c>
      <c r="U41" s="2"/>
      <c r="V41" s="7">
        <f t="shared" si="13"/>
        <v>0</v>
      </c>
      <c r="W41" s="2"/>
      <c r="X41" s="6">
        <f t="shared" si="14"/>
        <v>0</v>
      </c>
      <c r="Y41" s="2"/>
      <c r="Z41" s="7">
        <f t="shared" si="15"/>
        <v>0</v>
      </c>
    </row>
    <row r="42" spans="1:26" s="28" customFormat="1" outlineLevel="1" collapsed="1" x14ac:dyDescent="0.3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302.39</v>
      </c>
      <c r="E42" s="1"/>
      <c r="F42" s="5">
        <f t="shared" ref="F42:F50" si="16">IF(D$12=0,0,D42/D$12)</f>
        <v>0</v>
      </c>
      <c r="G42" s="1"/>
      <c r="H42" s="1">
        <f>SUM(OSRRefH22_2x_0)</f>
        <v>667</v>
      </c>
      <c r="I42" s="1"/>
      <c r="J42" s="5">
        <f t="shared" ref="J42:J50" si="17">IF(H$12=0,0,H42/H$12)</f>
        <v>0</v>
      </c>
      <c r="K42" s="1"/>
      <c r="L42" s="1">
        <f t="shared" ref="L42:L50" si="18">+D42-H42</f>
        <v>-364.61</v>
      </c>
      <c r="M42" s="1"/>
      <c r="N42" s="5">
        <f t="shared" ref="N42:N50" si="19">IF(H42=0,0,L42/H42)</f>
        <v>-0.54664167916041984</v>
      </c>
      <c r="O42" s="14"/>
      <c r="P42" s="1">
        <f>SUM(OSRRefP22_2x_0)</f>
        <v>475.6</v>
      </c>
      <c r="Q42" s="1"/>
      <c r="R42" s="5">
        <f t="shared" ref="R42:R50" si="20">IF(P$12=0,0,P42/P$12)</f>
        <v>0</v>
      </c>
      <c r="S42" s="1"/>
      <c r="T42" s="1">
        <f>SUM(OSRRefT22_2x_0)</f>
        <v>1234</v>
      </c>
      <c r="U42" s="1"/>
      <c r="V42" s="5">
        <f t="shared" ref="V42:V50" si="21">IF(T$12=0,0,T42/T$12)</f>
        <v>0</v>
      </c>
      <c r="W42" s="1"/>
      <c r="X42" s="1">
        <f t="shared" ref="X42:X50" si="22">+P42-T42</f>
        <v>-758.4</v>
      </c>
      <c r="Y42" s="1"/>
      <c r="Z42" s="5">
        <f t="shared" ref="Z42:Z50" si="23">IF(T42=0,0,X42/T42)</f>
        <v>-0.61458670988654784</v>
      </c>
    </row>
    <row r="43" spans="1:26" s="24" customFormat="1" hidden="1" outlineLevel="2" x14ac:dyDescent="0.3">
      <c r="A43" s="27"/>
      <c r="B43" s="11" t="str">
        <f>CONCATENATE("          ", "6362", " - ", "ADVERTISING EXPENSE")</f>
        <v xml:space="preserve">          6362 - ADVERTISING EXPENSE</v>
      </c>
      <c r="C43" s="11"/>
      <c r="D43" s="6">
        <v>302.39</v>
      </c>
      <c r="E43" s="2"/>
      <c r="F43" s="7">
        <f t="shared" si="16"/>
        <v>0</v>
      </c>
      <c r="G43" s="2"/>
      <c r="H43" s="6">
        <v>667</v>
      </c>
      <c r="I43" s="2"/>
      <c r="J43" s="7">
        <f t="shared" si="17"/>
        <v>0</v>
      </c>
      <c r="K43" s="2"/>
      <c r="L43" s="6">
        <f t="shared" si="18"/>
        <v>-364.61</v>
      </c>
      <c r="M43" s="2"/>
      <c r="N43" s="7">
        <f t="shared" si="19"/>
        <v>-0.54664167916041984</v>
      </c>
      <c r="O43" s="11"/>
      <c r="P43" s="6">
        <v>475.6</v>
      </c>
      <c r="Q43" s="2"/>
      <c r="R43" s="7">
        <f t="shared" si="20"/>
        <v>0</v>
      </c>
      <c r="S43" s="2"/>
      <c r="T43" s="6">
        <v>1234</v>
      </c>
      <c r="U43" s="2"/>
      <c r="V43" s="7">
        <f t="shared" si="21"/>
        <v>0</v>
      </c>
      <c r="W43" s="2"/>
      <c r="X43" s="6">
        <f t="shared" si="22"/>
        <v>-758.4</v>
      </c>
      <c r="Y43" s="2"/>
      <c r="Z43" s="7">
        <f t="shared" si="23"/>
        <v>-0.61458670988654784</v>
      </c>
    </row>
    <row r="44" spans="1:26" s="28" customFormat="1" outlineLevel="1" collapsed="1" x14ac:dyDescent="0.3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7</v>
      </c>
      <c r="E44" s="1"/>
      <c r="F44" s="5">
        <f t="shared" si="16"/>
        <v>0</v>
      </c>
      <c r="G44" s="1"/>
      <c r="H44" s="1">
        <f>SUM(OSRRefH22_3x_0)</f>
        <v>1000</v>
      </c>
      <c r="I44" s="1"/>
      <c r="J44" s="5">
        <f t="shared" si="17"/>
        <v>0</v>
      </c>
      <c r="K44" s="1"/>
      <c r="L44" s="1">
        <f t="shared" si="18"/>
        <v>-993</v>
      </c>
      <c r="M44" s="1"/>
      <c r="N44" s="5">
        <f t="shared" si="19"/>
        <v>-0.99299999999999999</v>
      </c>
      <c r="O44" s="14"/>
      <c r="P44" s="1">
        <f>SUM(OSRRefP22_3x_0)</f>
        <v>2356.86</v>
      </c>
      <c r="Q44" s="1"/>
      <c r="R44" s="5">
        <f t="shared" si="20"/>
        <v>0</v>
      </c>
      <c r="S44" s="1"/>
      <c r="T44" s="1">
        <f>SUM(OSRRefT22_3x_0)</f>
        <v>3000</v>
      </c>
      <c r="U44" s="1"/>
      <c r="V44" s="5">
        <f t="shared" si="21"/>
        <v>0</v>
      </c>
      <c r="W44" s="1"/>
      <c r="X44" s="1">
        <f t="shared" si="22"/>
        <v>-643.13999999999987</v>
      </c>
      <c r="Y44" s="1"/>
      <c r="Z44" s="5">
        <f t="shared" si="23"/>
        <v>-0.21437999999999996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7</v>
      </c>
      <c r="E45" s="2"/>
      <c r="F45" s="7">
        <f t="shared" si="16"/>
        <v>0</v>
      </c>
      <c r="G45" s="2"/>
      <c r="H45" s="6">
        <v>1000</v>
      </c>
      <c r="I45" s="2"/>
      <c r="J45" s="7">
        <f t="shared" si="17"/>
        <v>0</v>
      </c>
      <c r="K45" s="2"/>
      <c r="L45" s="6">
        <f t="shared" si="18"/>
        <v>-993</v>
      </c>
      <c r="M45" s="2"/>
      <c r="N45" s="7">
        <f t="shared" si="19"/>
        <v>-0.99299999999999999</v>
      </c>
      <c r="O45" s="11"/>
      <c r="P45" s="6">
        <v>2356.86</v>
      </c>
      <c r="Q45" s="2"/>
      <c r="R45" s="7">
        <f t="shared" si="20"/>
        <v>0</v>
      </c>
      <c r="S45" s="2"/>
      <c r="T45" s="6">
        <v>3000</v>
      </c>
      <c r="U45" s="2"/>
      <c r="V45" s="7">
        <f t="shared" si="21"/>
        <v>0</v>
      </c>
      <c r="W45" s="2"/>
      <c r="X45" s="6">
        <f t="shared" si="22"/>
        <v>-643.13999999999987</v>
      </c>
      <c r="Y45" s="2"/>
      <c r="Z45" s="7">
        <f t="shared" si="23"/>
        <v>-0.21437999999999996</v>
      </c>
    </row>
    <row r="46" spans="1:26" s="28" customFormat="1" outlineLevel="1" collapsed="1" x14ac:dyDescent="0.3">
      <c r="A46" s="29"/>
      <c r="B46" s="14" t="str">
        <f>CONCATENATE("     ","Board                                             ")</f>
        <v xml:space="preserve">     Board                                             </v>
      </c>
      <c r="C46" s="14"/>
      <c r="D46" s="1">
        <f>SUM(OSRRefD22_4x_0)</f>
        <v>1061.02</v>
      </c>
      <c r="E46" s="1"/>
      <c r="F46" s="5">
        <f t="shared" si="16"/>
        <v>0</v>
      </c>
      <c r="G46" s="1"/>
      <c r="H46" s="1">
        <f>SUM(OSRRefH22_4x_0)</f>
        <v>508</v>
      </c>
      <c r="I46" s="1"/>
      <c r="J46" s="5">
        <f t="shared" si="17"/>
        <v>0</v>
      </c>
      <c r="K46" s="1"/>
      <c r="L46" s="1">
        <f t="shared" si="18"/>
        <v>553.02</v>
      </c>
      <c r="M46" s="1"/>
      <c r="N46" s="5">
        <f t="shared" si="19"/>
        <v>1.0886220472440944</v>
      </c>
      <c r="O46" s="14"/>
      <c r="P46" s="1">
        <f>SUM(OSRRefP22_4x_0)</f>
        <v>1898.76</v>
      </c>
      <c r="Q46" s="1"/>
      <c r="R46" s="5">
        <f t="shared" si="20"/>
        <v>0</v>
      </c>
      <c r="S46" s="1"/>
      <c r="T46" s="1">
        <f>SUM(OSRRefT22_4x_0)</f>
        <v>1016</v>
      </c>
      <c r="U46" s="1"/>
      <c r="V46" s="5">
        <f t="shared" si="21"/>
        <v>0</v>
      </c>
      <c r="W46" s="1"/>
      <c r="X46" s="1">
        <f t="shared" si="22"/>
        <v>882.76</v>
      </c>
      <c r="Y46" s="1"/>
      <c r="Z46" s="5">
        <f t="shared" si="23"/>
        <v>0.8688582677165354</v>
      </c>
    </row>
    <row r="47" spans="1:26" s="24" customFormat="1" hidden="1" outlineLevel="2" x14ac:dyDescent="0.3">
      <c r="A47" s="27"/>
      <c r="B47" s="11" t="str">
        <f>CONCATENATE("          ", "6397", " - ", "BOARD EXPENSES")</f>
        <v xml:space="preserve">          6397 - BOARD EXPENSES</v>
      </c>
      <c r="C47" s="11"/>
      <c r="D47" s="6">
        <v>1061.02</v>
      </c>
      <c r="E47" s="2"/>
      <c r="F47" s="7">
        <f t="shared" si="16"/>
        <v>0</v>
      </c>
      <c r="G47" s="2"/>
      <c r="H47" s="6">
        <v>508</v>
      </c>
      <c r="I47" s="2"/>
      <c r="J47" s="7">
        <f t="shared" si="17"/>
        <v>0</v>
      </c>
      <c r="K47" s="2"/>
      <c r="L47" s="6">
        <f t="shared" si="18"/>
        <v>553.02</v>
      </c>
      <c r="M47" s="2"/>
      <c r="N47" s="7">
        <f t="shared" si="19"/>
        <v>1.0886220472440944</v>
      </c>
      <c r="O47" s="11"/>
      <c r="P47" s="6">
        <v>1898.76</v>
      </c>
      <c r="Q47" s="2"/>
      <c r="R47" s="7">
        <f t="shared" si="20"/>
        <v>0</v>
      </c>
      <c r="S47" s="2"/>
      <c r="T47" s="6">
        <v>1016</v>
      </c>
      <c r="U47" s="2"/>
      <c r="V47" s="7">
        <f t="shared" si="21"/>
        <v>0</v>
      </c>
      <c r="W47" s="2"/>
      <c r="X47" s="6">
        <f t="shared" si="22"/>
        <v>882.76</v>
      </c>
      <c r="Y47" s="2"/>
      <c r="Z47" s="7">
        <f t="shared" si="23"/>
        <v>0.8688582677165354</v>
      </c>
    </row>
    <row r="48" spans="1:26" s="28" customFormat="1" outlineLevel="1" collapsed="1" x14ac:dyDescent="0.3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6972.12</v>
      </c>
      <c r="E48" s="1"/>
      <c r="F48" s="5">
        <f t="shared" si="16"/>
        <v>0</v>
      </c>
      <c r="G48" s="1"/>
      <c r="H48" s="1">
        <f>SUM(OSRRefH22_5x_0)</f>
        <v>6930</v>
      </c>
      <c r="I48" s="1"/>
      <c r="J48" s="5">
        <f t="shared" si="17"/>
        <v>0</v>
      </c>
      <c r="K48" s="1"/>
      <c r="L48" s="1">
        <f t="shared" si="18"/>
        <v>42.119999999999891</v>
      </c>
      <c r="M48" s="1"/>
      <c r="N48" s="5">
        <f t="shared" si="19"/>
        <v>6.0779220779220624E-3</v>
      </c>
      <c r="O48" s="14"/>
      <c r="P48" s="1">
        <f>SUM(OSRRefP22_5x_0)</f>
        <v>13944.24</v>
      </c>
      <c r="Q48" s="1"/>
      <c r="R48" s="5">
        <f t="shared" si="20"/>
        <v>0</v>
      </c>
      <c r="S48" s="1"/>
      <c r="T48" s="1">
        <f>SUM(OSRRefT22_5x_0)</f>
        <v>13860</v>
      </c>
      <c r="U48" s="1"/>
      <c r="V48" s="5">
        <f t="shared" si="21"/>
        <v>0</v>
      </c>
      <c r="W48" s="1"/>
      <c r="X48" s="1">
        <f t="shared" si="22"/>
        <v>84.239999999999782</v>
      </c>
      <c r="Y48" s="1"/>
      <c r="Z48" s="5">
        <f t="shared" si="23"/>
        <v>6.0779220779220624E-3</v>
      </c>
    </row>
    <row r="49" spans="1:26" s="24" customFormat="1" hidden="1" outlineLevel="2" x14ac:dyDescent="0.3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6972.12</v>
      </c>
      <c r="E49" s="2"/>
      <c r="F49" s="7">
        <f t="shared" si="16"/>
        <v>0</v>
      </c>
      <c r="G49" s="2"/>
      <c r="H49" s="6">
        <v>6430</v>
      </c>
      <c r="I49" s="2"/>
      <c r="J49" s="7">
        <f t="shared" si="17"/>
        <v>0</v>
      </c>
      <c r="K49" s="2"/>
      <c r="L49" s="6">
        <f t="shared" si="18"/>
        <v>542.11999999999989</v>
      </c>
      <c r="M49" s="2"/>
      <c r="N49" s="7">
        <f t="shared" si="19"/>
        <v>8.4311041990668717E-2</v>
      </c>
      <c r="O49" s="11"/>
      <c r="P49" s="6">
        <v>13944.24</v>
      </c>
      <c r="Q49" s="2"/>
      <c r="R49" s="7">
        <f t="shared" si="20"/>
        <v>0</v>
      </c>
      <c r="S49" s="2"/>
      <c r="T49" s="6">
        <v>12860</v>
      </c>
      <c r="U49" s="2"/>
      <c r="V49" s="7">
        <f t="shared" si="21"/>
        <v>0</v>
      </c>
      <c r="W49" s="2"/>
      <c r="X49" s="6">
        <f t="shared" si="22"/>
        <v>1084.2399999999998</v>
      </c>
      <c r="Y49" s="2"/>
      <c r="Z49" s="7">
        <f t="shared" si="23"/>
        <v>8.4311041990668717E-2</v>
      </c>
    </row>
    <row r="50" spans="1:26" s="24" customFormat="1" hidden="1" outlineLevel="2" x14ac:dyDescent="0.3">
      <c r="A50" s="27"/>
      <c r="B50" s="11" t="str">
        <f>CONCATENATE("          ", "6324", " - ", "FURNITURE + FIXT DEPRECIATION")</f>
        <v xml:space="preserve">          6324 - FURNITURE + FIXT DEPRECIATION</v>
      </c>
      <c r="C50" s="11"/>
      <c r="D50" s="6"/>
      <c r="E50" s="2"/>
      <c r="F50" s="7">
        <f t="shared" si="16"/>
        <v>0</v>
      </c>
      <c r="G50" s="2"/>
      <c r="H50" s="6">
        <v>500</v>
      </c>
      <c r="I50" s="2"/>
      <c r="J50" s="7">
        <f t="shared" si="17"/>
        <v>0</v>
      </c>
      <c r="K50" s="2"/>
      <c r="L50" s="6">
        <f t="shared" si="18"/>
        <v>-500</v>
      </c>
      <c r="M50" s="2"/>
      <c r="N50" s="7">
        <f t="shared" si="19"/>
        <v>-1</v>
      </c>
      <c r="O50" s="11"/>
      <c r="P50" s="6"/>
      <c r="Q50" s="2"/>
      <c r="R50" s="7">
        <f t="shared" si="20"/>
        <v>0</v>
      </c>
      <c r="S50" s="2"/>
      <c r="T50" s="6">
        <v>1000</v>
      </c>
      <c r="U50" s="2"/>
      <c r="V50" s="7">
        <f t="shared" si="21"/>
        <v>0</v>
      </c>
      <c r="W50" s="2"/>
      <c r="X50" s="6">
        <f t="shared" si="22"/>
        <v>-1000</v>
      </c>
      <c r="Y50" s="2"/>
      <c r="Z50" s="7">
        <f t="shared" si="23"/>
        <v>-1</v>
      </c>
    </row>
    <row r="51" spans="1:26" s="28" customFormat="1" outlineLevel="1" collapsed="1" x14ac:dyDescent="0.3">
      <c r="A51" s="29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SUM(OSRRefD22_6x_0)</f>
        <v>0</v>
      </c>
      <c r="E51" s="1"/>
      <c r="F51" s="5">
        <f t="shared" ref="F51:F67" si="24">IF(D$12=0,0,D51/D$12)</f>
        <v>0</v>
      </c>
      <c r="G51" s="1"/>
      <c r="H51" s="1">
        <f>SUM(OSRRefH22_6x_0)</f>
        <v>26500</v>
      </c>
      <c r="I51" s="1"/>
      <c r="J51" s="5">
        <f t="shared" ref="J51:J67" si="25">IF(H$12=0,0,H51/H$12)</f>
        <v>0</v>
      </c>
      <c r="K51" s="1"/>
      <c r="L51" s="1">
        <f t="shared" ref="L51:L67" si="26">+D51-H51</f>
        <v>-26500</v>
      </c>
      <c r="M51" s="1"/>
      <c r="N51" s="5">
        <f t="shared" ref="N51:N67" si="27">IF(H51=0,0,L51/H51)</f>
        <v>-1</v>
      </c>
      <c r="O51" s="14"/>
      <c r="P51" s="1">
        <f>SUM(OSRRefP22_6x_0)</f>
        <v>0</v>
      </c>
      <c r="Q51" s="1"/>
      <c r="R51" s="5">
        <f t="shared" ref="R51:R67" si="28">IF(P$12=0,0,P51/P$12)</f>
        <v>0</v>
      </c>
      <c r="S51" s="1"/>
      <c r="T51" s="1">
        <f>SUM(OSRRefT22_6x_0)</f>
        <v>27700</v>
      </c>
      <c r="U51" s="1"/>
      <c r="V51" s="5">
        <f t="shared" ref="V51:V67" si="29">IF(T$12=0,0,T51/T$12)</f>
        <v>0</v>
      </c>
      <c r="W51" s="1"/>
      <c r="X51" s="1">
        <f t="shared" ref="X51:X67" si="30">+P51-T51</f>
        <v>-27700</v>
      </c>
      <c r="Y51" s="1"/>
      <c r="Z51" s="5">
        <f t="shared" ref="Z51:Z67" si="31">IF(T51=0,0,X51/T51)</f>
        <v>-1</v>
      </c>
    </row>
    <row r="52" spans="1:26" s="24" customFormat="1" hidden="1" outlineLevel="2" x14ac:dyDescent="0.3">
      <c r="A52" s="27"/>
      <c r="B52" s="11" t="str">
        <f>CONCATENATE("          ", "6399", " - ", "DONATION-ON CAMPUS")</f>
        <v xml:space="preserve">          6399 - DONATION-ON CAMPUS</v>
      </c>
      <c r="C52" s="11"/>
      <c r="D52" s="6"/>
      <c r="E52" s="2"/>
      <c r="F52" s="7">
        <f t="shared" si="24"/>
        <v>0</v>
      </c>
      <c r="G52" s="2"/>
      <c r="H52" s="6">
        <v>26500</v>
      </c>
      <c r="I52" s="2"/>
      <c r="J52" s="7">
        <f t="shared" si="25"/>
        <v>0</v>
      </c>
      <c r="K52" s="2"/>
      <c r="L52" s="6">
        <f t="shared" si="26"/>
        <v>-26500</v>
      </c>
      <c r="M52" s="2"/>
      <c r="N52" s="7">
        <f t="shared" si="27"/>
        <v>-1</v>
      </c>
      <c r="O52" s="11"/>
      <c r="P52" s="6"/>
      <c r="Q52" s="2"/>
      <c r="R52" s="7">
        <f t="shared" si="28"/>
        <v>0</v>
      </c>
      <c r="S52" s="2"/>
      <c r="T52" s="6">
        <v>27700</v>
      </c>
      <c r="U52" s="2"/>
      <c r="V52" s="7">
        <f t="shared" si="29"/>
        <v>0</v>
      </c>
      <c r="W52" s="2"/>
      <c r="X52" s="6">
        <f t="shared" si="30"/>
        <v>-27700</v>
      </c>
      <c r="Y52" s="2"/>
      <c r="Z52" s="7">
        <f t="shared" si="31"/>
        <v>-1</v>
      </c>
    </row>
    <row r="53" spans="1:26" s="28" customFormat="1" outlineLevel="1" collapsed="1" x14ac:dyDescent="0.3">
      <c r="A53" s="29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SUM(OSRRefD22_7x_0)</f>
        <v>0</v>
      </c>
      <c r="E53" s="1"/>
      <c r="F53" s="5">
        <f t="shared" si="24"/>
        <v>0</v>
      </c>
      <c r="G53" s="1"/>
      <c r="H53" s="1">
        <f>SUM(OSRRefH22_7x_0)</f>
        <v>250</v>
      </c>
      <c r="I53" s="1"/>
      <c r="J53" s="5">
        <f t="shared" si="25"/>
        <v>0</v>
      </c>
      <c r="K53" s="1"/>
      <c r="L53" s="1">
        <f t="shared" si="26"/>
        <v>-250</v>
      </c>
      <c r="M53" s="1"/>
      <c r="N53" s="5">
        <f t="shared" si="27"/>
        <v>-1</v>
      </c>
      <c r="O53" s="14"/>
      <c r="P53" s="1">
        <f>SUM(OSRRefP22_7x_0)</f>
        <v>0</v>
      </c>
      <c r="Q53" s="1"/>
      <c r="R53" s="5">
        <f t="shared" si="28"/>
        <v>0</v>
      </c>
      <c r="S53" s="1"/>
      <c r="T53" s="1">
        <f>SUM(OSRRefT22_7x_0)</f>
        <v>1000</v>
      </c>
      <c r="U53" s="1"/>
      <c r="V53" s="5">
        <f t="shared" si="29"/>
        <v>0</v>
      </c>
      <c r="W53" s="1"/>
      <c r="X53" s="1">
        <f t="shared" si="30"/>
        <v>-1000</v>
      </c>
      <c r="Y53" s="1"/>
      <c r="Z53" s="5">
        <f t="shared" si="31"/>
        <v>-1</v>
      </c>
    </row>
    <row r="54" spans="1:26" s="24" customFormat="1" hidden="1" outlineLevel="2" x14ac:dyDescent="0.3">
      <c r="A54" s="27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4"/>
        <v>0</v>
      </c>
      <c r="G54" s="2"/>
      <c r="H54" s="6">
        <v>250</v>
      </c>
      <c r="I54" s="2"/>
      <c r="J54" s="7">
        <f t="shared" si="25"/>
        <v>0</v>
      </c>
      <c r="K54" s="2"/>
      <c r="L54" s="6">
        <f t="shared" si="26"/>
        <v>-250</v>
      </c>
      <c r="M54" s="2"/>
      <c r="N54" s="7">
        <f t="shared" si="27"/>
        <v>-1</v>
      </c>
      <c r="O54" s="11"/>
      <c r="P54" s="6"/>
      <c r="Q54" s="2"/>
      <c r="R54" s="7">
        <f t="shared" si="28"/>
        <v>0</v>
      </c>
      <c r="S54" s="2"/>
      <c r="T54" s="6">
        <v>1000</v>
      </c>
      <c r="U54" s="2"/>
      <c r="V54" s="7">
        <f t="shared" si="29"/>
        <v>0</v>
      </c>
      <c r="W54" s="2"/>
      <c r="X54" s="6">
        <f t="shared" si="30"/>
        <v>-1000</v>
      </c>
      <c r="Y54" s="2"/>
      <c r="Z54" s="7">
        <f t="shared" si="31"/>
        <v>-1</v>
      </c>
    </row>
    <row r="55" spans="1:26" s="28" customFormat="1" outlineLevel="1" collapsed="1" x14ac:dyDescent="0.3">
      <c r="A55" s="29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SUM(OSRRefD22_8x_0)</f>
        <v>208.97</v>
      </c>
      <c r="E55" s="1"/>
      <c r="F55" s="5">
        <f t="shared" si="24"/>
        <v>0</v>
      </c>
      <c r="G55" s="1"/>
      <c r="H55" s="1">
        <f>SUM(OSRRefH22_8x_0)</f>
        <v>284</v>
      </c>
      <c r="I55" s="1"/>
      <c r="J55" s="5">
        <f t="shared" si="25"/>
        <v>0</v>
      </c>
      <c r="K55" s="1"/>
      <c r="L55" s="1">
        <f t="shared" si="26"/>
        <v>-75.03</v>
      </c>
      <c r="M55" s="1"/>
      <c r="N55" s="5">
        <f t="shared" si="27"/>
        <v>-0.26419014084507042</v>
      </c>
      <c r="O55" s="14"/>
      <c r="P55" s="1">
        <f>SUM(OSRRefP22_8x_0)</f>
        <v>417.94</v>
      </c>
      <c r="Q55" s="1"/>
      <c r="R55" s="5">
        <f t="shared" si="28"/>
        <v>0</v>
      </c>
      <c r="S55" s="1"/>
      <c r="T55" s="1">
        <f>SUM(OSRRefT22_8x_0)</f>
        <v>568</v>
      </c>
      <c r="U55" s="1"/>
      <c r="V55" s="5">
        <f t="shared" si="29"/>
        <v>0</v>
      </c>
      <c r="W55" s="1"/>
      <c r="X55" s="1">
        <f t="shared" si="30"/>
        <v>-150.06</v>
      </c>
      <c r="Y55" s="1"/>
      <c r="Z55" s="5">
        <f t="shared" si="31"/>
        <v>-0.26419014084507042</v>
      </c>
    </row>
    <row r="56" spans="1:26" s="24" customFormat="1" hidden="1" outlineLevel="2" x14ac:dyDescent="0.3">
      <c r="A56" s="27"/>
      <c r="B56" s="11" t="str">
        <f>CONCATENATE("          ", "6351", " - ", "EQUIPMENT RENTAL")</f>
        <v xml:space="preserve">          6351 - EQUIPMENT RENTAL</v>
      </c>
      <c r="C56" s="11"/>
      <c r="D56" s="6">
        <v>208.97</v>
      </c>
      <c r="E56" s="2"/>
      <c r="F56" s="7">
        <f t="shared" si="24"/>
        <v>0</v>
      </c>
      <c r="G56" s="2"/>
      <c r="H56" s="6">
        <v>284</v>
      </c>
      <c r="I56" s="2"/>
      <c r="J56" s="7">
        <f t="shared" si="25"/>
        <v>0</v>
      </c>
      <c r="K56" s="2"/>
      <c r="L56" s="6">
        <f t="shared" si="26"/>
        <v>-75.03</v>
      </c>
      <c r="M56" s="2"/>
      <c r="N56" s="7">
        <f t="shared" si="27"/>
        <v>-0.26419014084507042</v>
      </c>
      <c r="O56" s="11"/>
      <c r="P56" s="6">
        <v>417.94</v>
      </c>
      <c r="Q56" s="2"/>
      <c r="R56" s="7">
        <f t="shared" si="28"/>
        <v>0</v>
      </c>
      <c r="S56" s="2"/>
      <c r="T56" s="6">
        <v>568</v>
      </c>
      <c r="U56" s="2"/>
      <c r="V56" s="7">
        <f t="shared" si="29"/>
        <v>0</v>
      </c>
      <c r="W56" s="2"/>
      <c r="X56" s="6">
        <f t="shared" si="30"/>
        <v>-150.06</v>
      </c>
      <c r="Y56" s="2"/>
      <c r="Z56" s="7">
        <f t="shared" si="31"/>
        <v>-0.26419014084507042</v>
      </c>
    </row>
    <row r="57" spans="1:26" s="28" customFormat="1" outlineLevel="1" collapsed="1" x14ac:dyDescent="0.3">
      <c r="A57" s="29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SUM(OSRRefD22_9x_0)</f>
        <v>183.16</v>
      </c>
      <c r="E57" s="1"/>
      <c r="F57" s="5">
        <f t="shared" si="24"/>
        <v>0</v>
      </c>
      <c r="G57" s="1"/>
      <c r="H57" s="1">
        <f>SUM(OSRRefH22_9x_0)</f>
        <v>125</v>
      </c>
      <c r="I57" s="1"/>
      <c r="J57" s="5">
        <f t="shared" si="25"/>
        <v>0</v>
      </c>
      <c r="K57" s="1"/>
      <c r="L57" s="1">
        <f t="shared" si="26"/>
        <v>58.16</v>
      </c>
      <c r="M57" s="1"/>
      <c r="N57" s="5">
        <f t="shared" si="27"/>
        <v>0.46527999999999997</v>
      </c>
      <c r="O57" s="14"/>
      <c r="P57" s="1">
        <f>SUM(OSRRefP22_9x_0)</f>
        <v>285.89</v>
      </c>
      <c r="Q57" s="1"/>
      <c r="R57" s="5">
        <f t="shared" si="28"/>
        <v>0</v>
      </c>
      <c r="S57" s="1"/>
      <c r="T57" s="1">
        <f>SUM(OSRRefT22_9x_0)</f>
        <v>250</v>
      </c>
      <c r="U57" s="1"/>
      <c r="V57" s="5">
        <f t="shared" si="29"/>
        <v>0</v>
      </c>
      <c r="W57" s="1"/>
      <c r="X57" s="1">
        <f t="shared" si="30"/>
        <v>35.889999999999986</v>
      </c>
      <c r="Y57" s="1"/>
      <c r="Z57" s="5">
        <f t="shared" si="31"/>
        <v>0.14355999999999994</v>
      </c>
    </row>
    <row r="58" spans="1:26" s="24" customFormat="1" hidden="1" outlineLevel="2" x14ac:dyDescent="0.3">
      <c r="A58" s="27"/>
      <c r="B58" s="11" t="str">
        <f>CONCATENATE("          ", "6307", " - ", "POSTAGE")</f>
        <v xml:space="preserve">          6307 - POSTAGE</v>
      </c>
      <c r="C58" s="11"/>
      <c r="D58" s="6">
        <v>183.16</v>
      </c>
      <c r="E58" s="2"/>
      <c r="F58" s="7">
        <f t="shared" si="24"/>
        <v>0</v>
      </c>
      <c r="G58" s="2"/>
      <c r="H58" s="6">
        <v>125</v>
      </c>
      <c r="I58" s="2"/>
      <c r="J58" s="7">
        <f t="shared" si="25"/>
        <v>0</v>
      </c>
      <c r="K58" s="2"/>
      <c r="L58" s="6">
        <f t="shared" si="26"/>
        <v>58.16</v>
      </c>
      <c r="M58" s="2"/>
      <c r="N58" s="7">
        <f t="shared" si="27"/>
        <v>0.46527999999999997</v>
      </c>
      <c r="O58" s="11"/>
      <c r="P58" s="6">
        <v>285.89</v>
      </c>
      <c r="Q58" s="2"/>
      <c r="R58" s="7">
        <f t="shared" si="28"/>
        <v>0</v>
      </c>
      <c r="S58" s="2"/>
      <c r="T58" s="6">
        <v>250</v>
      </c>
      <c r="U58" s="2"/>
      <c r="V58" s="7">
        <f t="shared" si="29"/>
        <v>0</v>
      </c>
      <c r="W58" s="2"/>
      <c r="X58" s="6">
        <f t="shared" si="30"/>
        <v>35.889999999999986</v>
      </c>
      <c r="Y58" s="2"/>
      <c r="Z58" s="7">
        <f t="shared" si="31"/>
        <v>0.14355999999999994</v>
      </c>
    </row>
    <row r="59" spans="1:26" s="28" customFormat="1" outlineLevel="1" collapsed="1" x14ac:dyDescent="0.3">
      <c r="A59" s="29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SUM(OSRRefD22_10x_0)</f>
        <v>200.5</v>
      </c>
      <c r="E59" s="1"/>
      <c r="F59" s="5">
        <f t="shared" si="24"/>
        <v>0</v>
      </c>
      <c r="G59" s="1"/>
      <c r="H59" s="1">
        <f>SUM(OSRRefH22_10x_0)</f>
        <v>0</v>
      </c>
      <c r="I59" s="1"/>
      <c r="J59" s="5">
        <f t="shared" si="25"/>
        <v>0</v>
      </c>
      <c r="K59" s="1"/>
      <c r="L59" s="1">
        <f t="shared" si="26"/>
        <v>200.5</v>
      </c>
      <c r="M59" s="1"/>
      <c r="N59" s="5">
        <f t="shared" si="27"/>
        <v>0</v>
      </c>
      <c r="O59" s="14"/>
      <c r="P59" s="1">
        <f>SUM(OSRRefP22_10x_0)</f>
        <v>1230</v>
      </c>
      <c r="Q59" s="1"/>
      <c r="R59" s="5">
        <f t="shared" si="28"/>
        <v>0</v>
      </c>
      <c r="S59" s="1"/>
      <c r="T59" s="1">
        <f>SUM(OSRRefT22_10x_0)</f>
        <v>0</v>
      </c>
      <c r="U59" s="1"/>
      <c r="V59" s="5">
        <f t="shared" si="29"/>
        <v>0</v>
      </c>
      <c r="W59" s="1"/>
      <c r="X59" s="1">
        <f t="shared" si="30"/>
        <v>1230</v>
      </c>
      <c r="Y59" s="1"/>
      <c r="Z59" s="5">
        <f t="shared" si="31"/>
        <v>0</v>
      </c>
    </row>
    <row r="60" spans="1:26" s="24" customFormat="1" hidden="1" outlineLevel="2" x14ac:dyDescent="0.3">
      <c r="A60" s="27"/>
      <c r="B60" s="11" t="str">
        <f>CONCATENATE("          ", "6279", " - ", "GENERAL EXPENSE")</f>
        <v xml:space="preserve">          6279 - GENERAL EXPENSE</v>
      </c>
      <c r="C60" s="11"/>
      <c r="D60" s="6">
        <v>200.5</v>
      </c>
      <c r="E60" s="2"/>
      <c r="F60" s="7">
        <f t="shared" si="24"/>
        <v>0</v>
      </c>
      <c r="G60" s="2"/>
      <c r="H60" s="6">
        <v>0</v>
      </c>
      <c r="I60" s="2"/>
      <c r="J60" s="7">
        <f t="shared" si="25"/>
        <v>0</v>
      </c>
      <c r="K60" s="2"/>
      <c r="L60" s="6">
        <f t="shared" si="26"/>
        <v>200.5</v>
      </c>
      <c r="M60" s="2"/>
      <c r="N60" s="7">
        <f t="shared" si="27"/>
        <v>0</v>
      </c>
      <c r="O60" s="11"/>
      <c r="P60" s="6">
        <v>1230</v>
      </c>
      <c r="Q60" s="2"/>
      <c r="R60" s="7">
        <f t="shared" si="28"/>
        <v>0</v>
      </c>
      <c r="S60" s="2"/>
      <c r="T60" s="6">
        <v>0</v>
      </c>
      <c r="U60" s="2"/>
      <c r="V60" s="7">
        <f t="shared" si="29"/>
        <v>0</v>
      </c>
      <c r="W60" s="2"/>
      <c r="X60" s="6">
        <f t="shared" si="30"/>
        <v>1230</v>
      </c>
      <c r="Y60" s="2"/>
      <c r="Z60" s="7">
        <f t="shared" si="31"/>
        <v>0</v>
      </c>
    </row>
    <row r="61" spans="1:26" s="28" customFormat="1" outlineLevel="1" collapsed="1" x14ac:dyDescent="0.3">
      <c r="A61" s="29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SUM(OSRRefD22_11x_0)</f>
        <v>535.05999999999995</v>
      </c>
      <c r="E61" s="1"/>
      <c r="F61" s="5">
        <f t="shared" si="24"/>
        <v>0</v>
      </c>
      <c r="G61" s="1"/>
      <c r="H61" s="1">
        <f>SUM(OSRRefH22_11x_0)</f>
        <v>530</v>
      </c>
      <c r="I61" s="1"/>
      <c r="J61" s="5">
        <f t="shared" si="25"/>
        <v>0</v>
      </c>
      <c r="K61" s="1"/>
      <c r="L61" s="1">
        <f t="shared" si="26"/>
        <v>5.0599999999999454</v>
      </c>
      <c r="M61" s="1"/>
      <c r="N61" s="5">
        <f t="shared" si="27"/>
        <v>9.5471698113206525E-3</v>
      </c>
      <c r="O61" s="14"/>
      <c r="P61" s="1">
        <f>SUM(OSRRefP22_11x_0)</f>
        <v>1070.1199999999999</v>
      </c>
      <c r="Q61" s="1"/>
      <c r="R61" s="5">
        <f t="shared" si="28"/>
        <v>0</v>
      </c>
      <c r="S61" s="1"/>
      <c r="T61" s="1">
        <f>SUM(OSRRefT22_11x_0)</f>
        <v>1060</v>
      </c>
      <c r="U61" s="1"/>
      <c r="V61" s="5">
        <f t="shared" si="29"/>
        <v>0</v>
      </c>
      <c r="W61" s="1"/>
      <c r="X61" s="1">
        <f t="shared" si="30"/>
        <v>10.119999999999891</v>
      </c>
      <c r="Y61" s="1"/>
      <c r="Z61" s="5">
        <f t="shared" si="31"/>
        <v>9.5471698113206525E-3</v>
      </c>
    </row>
    <row r="62" spans="1:26" s="24" customFormat="1" hidden="1" outlineLevel="2" x14ac:dyDescent="0.3">
      <c r="A62" s="27"/>
      <c r="B62" s="11" t="str">
        <f>CONCATENATE("          ", "6314", " - ", "LIABILITY INSURANCE")</f>
        <v xml:space="preserve">          6314 - LIABILITY INSURANCE</v>
      </c>
      <c r="C62" s="11"/>
      <c r="D62" s="6">
        <v>535.05999999999995</v>
      </c>
      <c r="E62" s="2"/>
      <c r="F62" s="7">
        <f t="shared" si="24"/>
        <v>0</v>
      </c>
      <c r="G62" s="2"/>
      <c r="H62" s="6">
        <v>530</v>
      </c>
      <c r="I62" s="2"/>
      <c r="J62" s="7">
        <f t="shared" si="25"/>
        <v>0</v>
      </c>
      <c r="K62" s="2"/>
      <c r="L62" s="6">
        <f t="shared" si="26"/>
        <v>5.0599999999999454</v>
      </c>
      <c r="M62" s="2"/>
      <c r="N62" s="7">
        <f t="shared" si="27"/>
        <v>9.5471698113206525E-3</v>
      </c>
      <c r="O62" s="11"/>
      <c r="P62" s="6">
        <v>1070.1199999999999</v>
      </c>
      <c r="Q62" s="2"/>
      <c r="R62" s="7">
        <f t="shared" si="28"/>
        <v>0</v>
      </c>
      <c r="S62" s="2"/>
      <c r="T62" s="6">
        <v>1060</v>
      </c>
      <c r="U62" s="2"/>
      <c r="V62" s="7">
        <f t="shared" si="29"/>
        <v>0</v>
      </c>
      <c r="W62" s="2"/>
      <c r="X62" s="6">
        <f t="shared" si="30"/>
        <v>10.119999999999891</v>
      </c>
      <c r="Y62" s="2"/>
      <c r="Z62" s="7">
        <f t="shared" si="31"/>
        <v>9.5471698113206525E-3</v>
      </c>
    </row>
    <row r="63" spans="1:26" s="28" customFormat="1" outlineLevel="1" collapsed="1" x14ac:dyDescent="0.3">
      <c r="A63" s="29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SUM(OSRRefD22_12x_0)</f>
        <v>10337.75</v>
      </c>
      <c r="E63" s="1"/>
      <c r="F63" s="5">
        <f t="shared" si="24"/>
        <v>0</v>
      </c>
      <c r="G63" s="1"/>
      <c r="H63" s="1">
        <f>SUM(OSRRefH22_12x_0)</f>
        <v>1666</v>
      </c>
      <c r="I63" s="1"/>
      <c r="J63" s="5">
        <f t="shared" si="25"/>
        <v>0</v>
      </c>
      <c r="K63" s="1"/>
      <c r="L63" s="1">
        <f t="shared" si="26"/>
        <v>8671.75</v>
      </c>
      <c r="M63" s="1"/>
      <c r="N63" s="5">
        <f t="shared" si="27"/>
        <v>5.2051320528211287</v>
      </c>
      <c r="O63" s="14"/>
      <c r="P63" s="1">
        <f>SUM(OSRRefP22_12x_0)</f>
        <v>15287.75</v>
      </c>
      <c r="Q63" s="1"/>
      <c r="R63" s="5">
        <f t="shared" si="28"/>
        <v>0</v>
      </c>
      <c r="S63" s="1"/>
      <c r="T63" s="1">
        <f>SUM(OSRRefT22_12x_0)</f>
        <v>19332</v>
      </c>
      <c r="U63" s="1"/>
      <c r="V63" s="5">
        <f t="shared" si="29"/>
        <v>0</v>
      </c>
      <c r="W63" s="1"/>
      <c r="X63" s="1">
        <f t="shared" si="30"/>
        <v>-4044.25</v>
      </c>
      <c r="Y63" s="1"/>
      <c r="Z63" s="5">
        <f t="shared" si="31"/>
        <v>-0.20919977239809642</v>
      </c>
    </row>
    <row r="64" spans="1:26" s="24" customFormat="1" hidden="1" outlineLevel="2" x14ac:dyDescent="0.3">
      <c r="A64" s="27"/>
      <c r="B64" s="11" t="str">
        <f>CONCATENATE("          ", "6331", " - ", "INDIRECT COSTS-AUXILIARY ORGAN")</f>
        <v xml:space="preserve">          6331 - INDIRECT COSTS-AUXILIARY ORGAN</v>
      </c>
      <c r="C64" s="11"/>
      <c r="D64" s="6">
        <v>10337.75</v>
      </c>
      <c r="E64" s="2"/>
      <c r="F64" s="7">
        <f t="shared" si="24"/>
        <v>0</v>
      </c>
      <c r="G64" s="2"/>
      <c r="H64" s="6">
        <v>0</v>
      </c>
      <c r="I64" s="2"/>
      <c r="J64" s="7">
        <f t="shared" si="25"/>
        <v>0</v>
      </c>
      <c r="K64" s="2"/>
      <c r="L64" s="6">
        <f t="shared" si="26"/>
        <v>10337.75</v>
      </c>
      <c r="M64" s="2"/>
      <c r="N64" s="7">
        <f t="shared" si="27"/>
        <v>0</v>
      </c>
      <c r="O64" s="11"/>
      <c r="P64" s="6">
        <v>10337.75</v>
      </c>
      <c r="Q64" s="2"/>
      <c r="R64" s="7">
        <f t="shared" si="28"/>
        <v>0</v>
      </c>
      <c r="S64" s="2"/>
      <c r="T64" s="6">
        <v>13000</v>
      </c>
      <c r="U64" s="2"/>
      <c r="V64" s="7">
        <f t="shared" si="29"/>
        <v>0</v>
      </c>
      <c r="W64" s="2"/>
      <c r="X64" s="6">
        <f t="shared" si="30"/>
        <v>-2662.25</v>
      </c>
      <c r="Y64" s="2"/>
      <c r="Z64" s="7">
        <f t="shared" si="31"/>
        <v>-0.20478846153846153</v>
      </c>
    </row>
    <row r="65" spans="1:26" s="24" customFormat="1" hidden="1" outlineLevel="2" x14ac:dyDescent="0.3">
      <c r="A65" s="27"/>
      <c r="B65" s="11" t="str">
        <f>CONCATENATE("          ", "6332", " - ", "CONSULTANT FEES")</f>
        <v xml:space="preserve">          6332 - CONSULTANT FEES</v>
      </c>
      <c r="C65" s="11"/>
      <c r="D65" s="6"/>
      <c r="E65" s="2"/>
      <c r="F65" s="7">
        <f t="shared" si="24"/>
        <v>0</v>
      </c>
      <c r="G65" s="2"/>
      <c r="H65" s="6">
        <v>0</v>
      </c>
      <c r="I65" s="2"/>
      <c r="J65" s="7">
        <f t="shared" si="25"/>
        <v>0</v>
      </c>
      <c r="K65" s="2"/>
      <c r="L65" s="6">
        <f t="shared" si="26"/>
        <v>0</v>
      </c>
      <c r="M65" s="2"/>
      <c r="N65" s="7">
        <f t="shared" si="27"/>
        <v>0</v>
      </c>
      <c r="O65" s="11"/>
      <c r="P65" s="6"/>
      <c r="Q65" s="2"/>
      <c r="R65" s="7">
        <f t="shared" si="28"/>
        <v>0</v>
      </c>
      <c r="S65" s="2"/>
      <c r="T65" s="6">
        <v>3000</v>
      </c>
      <c r="U65" s="2"/>
      <c r="V65" s="7">
        <f t="shared" si="29"/>
        <v>0</v>
      </c>
      <c r="W65" s="2"/>
      <c r="X65" s="6">
        <f t="shared" si="30"/>
        <v>-3000</v>
      </c>
      <c r="Y65" s="2"/>
      <c r="Z65" s="7">
        <f t="shared" si="31"/>
        <v>-1</v>
      </c>
    </row>
    <row r="66" spans="1:26" s="24" customFormat="1" hidden="1" outlineLevel="2" x14ac:dyDescent="0.3">
      <c r="A66" s="27"/>
      <c r="B66" s="11" t="str">
        <f>CONCATENATE("          ", "6334", " - ", "LEGAL COUNCIL EXPENSE")</f>
        <v xml:space="preserve">          6334 - LEGAL COUNCIL EXPENSE</v>
      </c>
      <c r="C66" s="11"/>
      <c r="D66" s="6"/>
      <c r="E66" s="2"/>
      <c r="F66" s="7">
        <f t="shared" si="24"/>
        <v>0</v>
      </c>
      <c r="G66" s="2"/>
      <c r="H66" s="6">
        <v>833</v>
      </c>
      <c r="I66" s="2"/>
      <c r="J66" s="7">
        <f t="shared" si="25"/>
        <v>0</v>
      </c>
      <c r="K66" s="2"/>
      <c r="L66" s="6">
        <f t="shared" si="26"/>
        <v>-833</v>
      </c>
      <c r="M66" s="2"/>
      <c r="N66" s="7">
        <f t="shared" si="27"/>
        <v>-1</v>
      </c>
      <c r="O66" s="11"/>
      <c r="P66" s="6">
        <v>3255</v>
      </c>
      <c r="Q66" s="2"/>
      <c r="R66" s="7">
        <f t="shared" si="28"/>
        <v>0</v>
      </c>
      <c r="S66" s="2"/>
      <c r="T66" s="6">
        <v>1666</v>
      </c>
      <c r="U66" s="2"/>
      <c r="V66" s="7">
        <f t="shared" si="29"/>
        <v>0</v>
      </c>
      <c r="W66" s="2"/>
      <c r="X66" s="6">
        <f t="shared" si="30"/>
        <v>1589</v>
      </c>
      <c r="Y66" s="2"/>
      <c r="Z66" s="7">
        <f t="shared" si="31"/>
        <v>0.95378151260504207</v>
      </c>
    </row>
    <row r="67" spans="1:26" s="24" customFormat="1" hidden="1" outlineLevel="2" x14ac:dyDescent="0.3">
      <c r="A67" s="27"/>
      <c r="B67" s="11" t="str">
        <f>CONCATENATE("          ", "6336", " - ", "PROFESSIONAL SERVICES")</f>
        <v xml:space="preserve">          6336 - PROFESSIONAL SERVICES</v>
      </c>
      <c r="C67" s="11"/>
      <c r="D67" s="6"/>
      <c r="E67" s="2"/>
      <c r="F67" s="7">
        <f t="shared" si="24"/>
        <v>0</v>
      </c>
      <c r="G67" s="2"/>
      <c r="H67" s="6">
        <v>833</v>
      </c>
      <c r="I67" s="2"/>
      <c r="J67" s="7">
        <f t="shared" si="25"/>
        <v>0</v>
      </c>
      <c r="K67" s="2"/>
      <c r="L67" s="6">
        <f t="shared" si="26"/>
        <v>-833</v>
      </c>
      <c r="M67" s="2"/>
      <c r="N67" s="7">
        <f t="shared" si="27"/>
        <v>-1</v>
      </c>
      <c r="O67" s="11"/>
      <c r="P67" s="6">
        <v>1695</v>
      </c>
      <c r="Q67" s="2"/>
      <c r="R67" s="7">
        <f t="shared" si="28"/>
        <v>0</v>
      </c>
      <c r="S67" s="2"/>
      <c r="T67" s="6">
        <v>1666</v>
      </c>
      <c r="U67" s="2"/>
      <c r="V67" s="7">
        <f t="shared" si="29"/>
        <v>0</v>
      </c>
      <c r="W67" s="2"/>
      <c r="X67" s="6">
        <f t="shared" si="30"/>
        <v>29</v>
      </c>
      <c r="Y67" s="2"/>
      <c r="Z67" s="7">
        <f t="shared" si="31"/>
        <v>1.7406962785114045E-2</v>
      </c>
    </row>
    <row r="68" spans="1:26" s="28" customFormat="1" outlineLevel="1" collapsed="1" x14ac:dyDescent="0.3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SUM(OSRRefD22_13x_0)</f>
        <v>19209.64</v>
      </c>
      <c r="E68" s="1"/>
      <c r="F68" s="5">
        <f t="shared" ref="F68:F72" si="32">IF(D$12=0,0,D68/D$12)</f>
        <v>0</v>
      </c>
      <c r="G68" s="1"/>
      <c r="H68" s="1">
        <f>SUM(OSRRefH22_13x_0)</f>
        <v>21607</v>
      </c>
      <c r="I68" s="1"/>
      <c r="J68" s="5">
        <f t="shared" ref="J68:J72" si="33">IF(H$12=0,0,H68/H$12)</f>
        <v>0</v>
      </c>
      <c r="K68" s="1"/>
      <c r="L68" s="1">
        <f t="shared" ref="L68:L72" si="34">+D68-H68</f>
        <v>-2397.3600000000006</v>
      </c>
      <c r="M68" s="1"/>
      <c r="N68" s="5">
        <f t="shared" ref="N68:N72" si="35">IF(H68=0,0,L68/H68)</f>
        <v>-0.11095293192021106</v>
      </c>
      <c r="O68" s="14"/>
      <c r="P68" s="1">
        <f>SUM(OSRRefP22_13x_0)</f>
        <v>35943.68</v>
      </c>
      <c r="Q68" s="1"/>
      <c r="R68" s="5">
        <f t="shared" ref="R68:R72" si="36">IF(P$12=0,0,P68/P$12)</f>
        <v>0</v>
      </c>
      <c r="S68" s="1"/>
      <c r="T68" s="1">
        <f>SUM(OSRRefT22_13x_0)</f>
        <v>46214</v>
      </c>
      <c r="U68" s="1"/>
      <c r="V68" s="5">
        <f t="shared" ref="V68:V72" si="37">IF(T$12=0,0,T68/T$12)</f>
        <v>0</v>
      </c>
      <c r="W68" s="1"/>
      <c r="X68" s="1">
        <f t="shared" ref="X68:X72" si="38">+P68-T68</f>
        <v>-10270.32</v>
      </c>
      <c r="Y68" s="1"/>
      <c r="Z68" s="5">
        <f t="shared" ref="Z68:Z72" si="39">IF(T68=0,0,X68/T68)</f>
        <v>-0.22223395507854762</v>
      </c>
    </row>
    <row r="69" spans="1:26" s="24" customFormat="1" hidden="1" outlineLevel="2" x14ac:dyDescent="0.3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6">
        <v>6794.88</v>
      </c>
      <c r="E69" s="2"/>
      <c r="F69" s="7">
        <f t="shared" si="32"/>
        <v>0</v>
      </c>
      <c r="G69" s="2"/>
      <c r="H69" s="6">
        <v>9600</v>
      </c>
      <c r="I69" s="2"/>
      <c r="J69" s="7">
        <f t="shared" si="33"/>
        <v>0</v>
      </c>
      <c r="K69" s="2"/>
      <c r="L69" s="6">
        <f t="shared" si="34"/>
        <v>-2805.12</v>
      </c>
      <c r="M69" s="2"/>
      <c r="N69" s="7">
        <f t="shared" si="35"/>
        <v>-0.29220000000000002</v>
      </c>
      <c r="O69" s="11"/>
      <c r="P69" s="6">
        <v>10578.76</v>
      </c>
      <c r="Q69" s="2"/>
      <c r="R69" s="7">
        <f t="shared" si="36"/>
        <v>0</v>
      </c>
      <c r="S69" s="2"/>
      <c r="T69" s="6">
        <v>19200</v>
      </c>
      <c r="U69" s="2"/>
      <c r="V69" s="7">
        <f t="shared" si="37"/>
        <v>0</v>
      </c>
      <c r="W69" s="2"/>
      <c r="X69" s="6">
        <f t="shared" si="38"/>
        <v>-8621.24</v>
      </c>
      <c r="Y69" s="2"/>
      <c r="Z69" s="7">
        <f t="shared" si="39"/>
        <v>-0.44902291666666666</v>
      </c>
    </row>
    <row r="70" spans="1:26" s="24" customFormat="1" hidden="1" outlineLevel="2" x14ac:dyDescent="0.3">
      <c r="A70" s="27"/>
      <c r="B70" s="11" t="str">
        <f>CONCATENATE("          ", "6372", " - ", "COMPUTER HARDWARE MAINTENANCE")</f>
        <v xml:space="preserve">          6372 - COMPUTER HARDWARE MAINTENANCE</v>
      </c>
      <c r="C70" s="11"/>
      <c r="D70" s="6"/>
      <c r="E70" s="2"/>
      <c r="F70" s="7">
        <f t="shared" si="32"/>
        <v>0</v>
      </c>
      <c r="G70" s="2"/>
      <c r="H70" s="6">
        <v>0</v>
      </c>
      <c r="I70" s="2"/>
      <c r="J70" s="7">
        <f t="shared" si="33"/>
        <v>0</v>
      </c>
      <c r="K70" s="2"/>
      <c r="L70" s="6">
        <f t="shared" si="34"/>
        <v>0</v>
      </c>
      <c r="M70" s="2"/>
      <c r="N70" s="7">
        <f t="shared" si="35"/>
        <v>0</v>
      </c>
      <c r="O70" s="11"/>
      <c r="P70" s="6"/>
      <c r="Q70" s="2"/>
      <c r="R70" s="7">
        <f t="shared" si="36"/>
        <v>0</v>
      </c>
      <c r="S70" s="2"/>
      <c r="T70" s="6">
        <v>3000</v>
      </c>
      <c r="U70" s="2"/>
      <c r="V70" s="7">
        <f t="shared" si="37"/>
        <v>0</v>
      </c>
      <c r="W70" s="2"/>
      <c r="X70" s="6">
        <f t="shared" si="38"/>
        <v>-3000</v>
      </c>
      <c r="Y70" s="2"/>
      <c r="Z70" s="7">
        <f t="shared" si="39"/>
        <v>-1</v>
      </c>
    </row>
    <row r="71" spans="1:26" s="24" customFormat="1" hidden="1" outlineLevel="2" x14ac:dyDescent="0.3">
      <c r="A71" s="27"/>
      <c r="B71" s="11" t="str">
        <f>CONCATENATE("          ", "6373", " - ", "MAINTENANCE CONTRACTS")</f>
        <v xml:space="preserve">          6373 - MAINTENANCE CONTRACTS</v>
      </c>
      <c r="C71" s="11"/>
      <c r="D71" s="6">
        <v>10648.33</v>
      </c>
      <c r="E71" s="2"/>
      <c r="F71" s="7">
        <f t="shared" si="32"/>
        <v>0</v>
      </c>
      <c r="G71" s="2"/>
      <c r="H71" s="6">
        <v>11857</v>
      </c>
      <c r="I71" s="2"/>
      <c r="J71" s="7">
        <f t="shared" si="33"/>
        <v>0</v>
      </c>
      <c r="K71" s="2"/>
      <c r="L71" s="6">
        <f t="shared" si="34"/>
        <v>-1208.67</v>
      </c>
      <c r="M71" s="2"/>
      <c r="N71" s="7">
        <f t="shared" si="35"/>
        <v>-0.10193725225605128</v>
      </c>
      <c r="O71" s="11"/>
      <c r="P71" s="6">
        <v>23598.49</v>
      </c>
      <c r="Q71" s="2"/>
      <c r="R71" s="7">
        <f t="shared" si="36"/>
        <v>0</v>
      </c>
      <c r="S71" s="2"/>
      <c r="T71" s="6">
        <v>23714</v>
      </c>
      <c r="U71" s="2"/>
      <c r="V71" s="7">
        <f t="shared" si="37"/>
        <v>0</v>
      </c>
      <c r="W71" s="2"/>
      <c r="X71" s="6">
        <f t="shared" si="38"/>
        <v>-115.5099999999984</v>
      </c>
      <c r="Y71" s="2"/>
      <c r="Z71" s="7">
        <f t="shared" si="39"/>
        <v>-4.8709623007505438E-3</v>
      </c>
    </row>
    <row r="72" spans="1:26" s="24" customFormat="1" hidden="1" outlineLevel="2" x14ac:dyDescent="0.3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6">
        <v>1766.43</v>
      </c>
      <c r="E72" s="2"/>
      <c r="F72" s="7">
        <f t="shared" si="32"/>
        <v>0</v>
      </c>
      <c r="G72" s="2"/>
      <c r="H72" s="6">
        <v>150</v>
      </c>
      <c r="I72" s="2"/>
      <c r="J72" s="7">
        <f t="shared" si="33"/>
        <v>0</v>
      </c>
      <c r="K72" s="2"/>
      <c r="L72" s="6">
        <f t="shared" si="34"/>
        <v>1616.43</v>
      </c>
      <c r="M72" s="2"/>
      <c r="N72" s="7">
        <f t="shared" si="35"/>
        <v>10.776200000000001</v>
      </c>
      <c r="O72" s="11"/>
      <c r="P72" s="6">
        <v>1766.43</v>
      </c>
      <c r="Q72" s="2"/>
      <c r="R72" s="7">
        <f t="shared" si="36"/>
        <v>0</v>
      </c>
      <c r="S72" s="2"/>
      <c r="T72" s="6">
        <v>300</v>
      </c>
      <c r="U72" s="2"/>
      <c r="V72" s="7">
        <f t="shared" si="37"/>
        <v>0</v>
      </c>
      <c r="W72" s="2"/>
      <c r="X72" s="6">
        <f t="shared" si="38"/>
        <v>1466.43</v>
      </c>
      <c r="Y72" s="2"/>
      <c r="Z72" s="7">
        <f t="shared" si="39"/>
        <v>4.8881000000000006</v>
      </c>
    </row>
    <row r="73" spans="1:26" s="28" customFormat="1" outlineLevel="1" collapsed="1" x14ac:dyDescent="0.3">
      <c r="A73" s="29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SUM(OSRRefD22_14x_0)</f>
        <v>1367.89</v>
      </c>
      <c r="E73" s="1"/>
      <c r="F73" s="5">
        <f t="shared" ref="F73:F75" si="40">IF(D$12=0,0,D73/D$12)</f>
        <v>0</v>
      </c>
      <c r="G73" s="1"/>
      <c r="H73" s="1">
        <f>SUM(OSRRefH22_14x_0)</f>
        <v>650</v>
      </c>
      <c r="I73" s="1"/>
      <c r="J73" s="5">
        <f t="shared" ref="J73:J75" si="41">IF(H$12=0,0,H73/H$12)</f>
        <v>0</v>
      </c>
      <c r="K73" s="1"/>
      <c r="L73" s="1">
        <f t="shared" ref="L73:L75" si="42">+D73-H73</f>
        <v>717.8900000000001</v>
      </c>
      <c r="M73" s="1"/>
      <c r="N73" s="5">
        <f t="shared" ref="N73:N75" si="43">IF(H73=0,0,L73/H73)</f>
        <v>1.1044461538461541</v>
      </c>
      <c r="O73" s="14"/>
      <c r="P73" s="1">
        <f>SUM(OSRRefP22_14x_0)</f>
        <v>1367.89</v>
      </c>
      <c r="Q73" s="1"/>
      <c r="R73" s="5">
        <f t="shared" ref="R73:R75" si="44">IF(P$12=0,0,P73/P$12)</f>
        <v>0</v>
      </c>
      <c r="S73" s="1"/>
      <c r="T73" s="1">
        <f>SUM(OSRRefT22_14x_0)</f>
        <v>1300</v>
      </c>
      <c r="U73" s="1"/>
      <c r="V73" s="5">
        <f t="shared" ref="V73:V75" si="45">IF(T$12=0,0,T73/T$12)</f>
        <v>0</v>
      </c>
      <c r="W73" s="1"/>
      <c r="X73" s="1">
        <f t="shared" ref="X73:X75" si="46">+P73-T73</f>
        <v>67.8900000000001</v>
      </c>
      <c r="Y73" s="1"/>
      <c r="Z73" s="5">
        <f t="shared" ref="Z73:Z75" si="47">IF(T73=0,0,X73/T73)</f>
        <v>5.2223076923076997E-2</v>
      </c>
    </row>
    <row r="74" spans="1:26" s="24" customFormat="1" hidden="1" outlineLevel="2" x14ac:dyDescent="0.3">
      <c r="A74" s="27"/>
      <c r="B74" s="11" t="str">
        <f>CONCATENATE("          ", "6281", " - ", "STORAGE FEE")</f>
        <v xml:space="preserve">          6281 - STORAGE FEE</v>
      </c>
      <c r="C74" s="11"/>
      <c r="D74" s="6">
        <v>1367.89</v>
      </c>
      <c r="E74" s="2"/>
      <c r="F74" s="7">
        <f t="shared" si="40"/>
        <v>0</v>
      </c>
      <c r="G74" s="2"/>
      <c r="H74" s="6">
        <v>625</v>
      </c>
      <c r="I74" s="2"/>
      <c r="J74" s="7">
        <f t="shared" si="41"/>
        <v>0</v>
      </c>
      <c r="K74" s="2"/>
      <c r="L74" s="6">
        <f t="shared" si="42"/>
        <v>742.8900000000001</v>
      </c>
      <c r="M74" s="2"/>
      <c r="N74" s="7">
        <f t="shared" si="43"/>
        <v>1.1886240000000001</v>
      </c>
      <c r="O74" s="11"/>
      <c r="P74" s="6">
        <v>1367.89</v>
      </c>
      <c r="Q74" s="2"/>
      <c r="R74" s="7">
        <f t="shared" si="44"/>
        <v>0</v>
      </c>
      <c r="S74" s="2"/>
      <c r="T74" s="6">
        <v>1250</v>
      </c>
      <c r="U74" s="2"/>
      <c r="V74" s="7">
        <f t="shared" si="45"/>
        <v>0</v>
      </c>
      <c r="W74" s="2"/>
      <c r="X74" s="6">
        <f t="shared" si="46"/>
        <v>117.8900000000001</v>
      </c>
      <c r="Y74" s="2"/>
      <c r="Z74" s="7">
        <f t="shared" si="47"/>
        <v>9.4312000000000076E-2</v>
      </c>
    </row>
    <row r="75" spans="1:26" s="24" customFormat="1" hidden="1" outlineLevel="2" x14ac:dyDescent="0.3">
      <c r="A75" s="27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40"/>
        <v>0</v>
      </c>
      <c r="G75" s="2"/>
      <c r="H75" s="6">
        <v>25</v>
      </c>
      <c r="I75" s="2"/>
      <c r="J75" s="7">
        <f t="shared" si="41"/>
        <v>0</v>
      </c>
      <c r="K75" s="2"/>
      <c r="L75" s="6">
        <f t="shared" si="42"/>
        <v>-25</v>
      </c>
      <c r="M75" s="2"/>
      <c r="N75" s="7">
        <f t="shared" si="43"/>
        <v>-1</v>
      </c>
      <c r="O75" s="11"/>
      <c r="P75" s="6"/>
      <c r="Q75" s="2"/>
      <c r="R75" s="7">
        <f t="shared" si="44"/>
        <v>0</v>
      </c>
      <c r="S75" s="2"/>
      <c r="T75" s="6">
        <v>50</v>
      </c>
      <c r="U75" s="2"/>
      <c r="V75" s="7">
        <f t="shared" si="45"/>
        <v>0</v>
      </c>
      <c r="W75" s="2"/>
      <c r="X75" s="6">
        <f t="shared" si="46"/>
        <v>-50</v>
      </c>
      <c r="Y75" s="2"/>
      <c r="Z75" s="7">
        <f t="shared" si="47"/>
        <v>-1</v>
      </c>
    </row>
    <row r="76" spans="1:26" s="28" customFormat="1" outlineLevel="1" collapsed="1" x14ac:dyDescent="0.3">
      <c r="A76" s="29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SUM(OSRRefD22_15x_0)</f>
        <v>1000</v>
      </c>
      <c r="E76" s="1"/>
      <c r="F76" s="5">
        <f t="shared" ref="F76:F84" si="48">IF(D$12=0,0,D76/D$12)</f>
        <v>0</v>
      </c>
      <c r="G76" s="1"/>
      <c r="H76" s="1">
        <f>SUM(OSRRefH22_15x_0)</f>
        <v>725</v>
      </c>
      <c r="I76" s="1"/>
      <c r="J76" s="5">
        <f t="shared" ref="J76:J84" si="49">IF(H$12=0,0,H76/H$12)</f>
        <v>0</v>
      </c>
      <c r="K76" s="1"/>
      <c r="L76" s="1">
        <f t="shared" ref="L76:L84" si="50">+D76-H76</f>
        <v>275</v>
      </c>
      <c r="M76" s="1"/>
      <c r="N76" s="5">
        <f t="shared" ref="N76:N84" si="51">IF(H76=0,0,L76/H76)</f>
        <v>0.37931034482758619</v>
      </c>
      <c r="O76" s="14"/>
      <c r="P76" s="1">
        <f>SUM(OSRRefP22_15x_0)</f>
        <v>1219</v>
      </c>
      <c r="Q76" s="1"/>
      <c r="R76" s="5">
        <f t="shared" ref="R76:R84" si="52">IF(P$12=0,0,P76/P$12)</f>
        <v>0</v>
      </c>
      <c r="S76" s="1"/>
      <c r="T76" s="1">
        <f>SUM(OSRRefT22_15x_0)</f>
        <v>975</v>
      </c>
      <c r="U76" s="1"/>
      <c r="V76" s="5">
        <f t="shared" ref="V76:V84" si="53">IF(T$12=0,0,T76/T$12)</f>
        <v>0</v>
      </c>
      <c r="W76" s="1"/>
      <c r="X76" s="1">
        <f t="shared" ref="X76:X84" si="54">+P76-T76</f>
        <v>244</v>
      </c>
      <c r="Y76" s="1"/>
      <c r="Z76" s="5">
        <f t="shared" ref="Z76:Z84" si="55">IF(T76=0,0,X76/T76)</f>
        <v>0.25025641025641027</v>
      </c>
    </row>
    <row r="77" spans="1:26" s="24" customFormat="1" hidden="1" outlineLevel="2" x14ac:dyDescent="0.3">
      <c r="A77" s="27"/>
      <c r="B77" s="11" t="str">
        <f>CONCATENATE("          ", "6258", " - ", "MEMBERSHIP DUES")</f>
        <v xml:space="preserve">          6258 - MEMBERSHIP DUES</v>
      </c>
      <c r="C77" s="11"/>
      <c r="D77" s="6">
        <v>1000</v>
      </c>
      <c r="E77" s="2"/>
      <c r="F77" s="7">
        <f t="shared" si="48"/>
        <v>0</v>
      </c>
      <c r="G77" s="2"/>
      <c r="H77" s="6">
        <v>725</v>
      </c>
      <c r="I77" s="2"/>
      <c r="J77" s="7">
        <f t="shared" si="49"/>
        <v>0</v>
      </c>
      <c r="K77" s="2"/>
      <c r="L77" s="6">
        <f t="shared" si="50"/>
        <v>275</v>
      </c>
      <c r="M77" s="2"/>
      <c r="N77" s="7">
        <f t="shared" si="51"/>
        <v>0.37931034482758619</v>
      </c>
      <c r="O77" s="11"/>
      <c r="P77" s="6">
        <v>1219</v>
      </c>
      <c r="Q77" s="2"/>
      <c r="R77" s="7">
        <f t="shared" si="52"/>
        <v>0</v>
      </c>
      <c r="S77" s="2"/>
      <c r="T77" s="6">
        <v>975</v>
      </c>
      <c r="U77" s="2"/>
      <c r="V77" s="7">
        <f t="shared" si="53"/>
        <v>0</v>
      </c>
      <c r="W77" s="2"/>
      <c r="X77" s="6">
        <f t="shared" si="54"/>
        <v>244</v>
      </c>
      <c r="Y77" s="2"/>
      <c r="Z77" s="7">
        <f t="shared" si="55"/>
        <v>0.25025641025641027</v>
      </c>
    </row>
    <row r="78" spans="1:26" s="28" customFormat="1" outlineLevel="1" collapsed="1" x14ac:dyDescent="0.3">
      <c r="A78" s="29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SUM(OSRRefD22_16x_0)</f>
        <v>2872.79</v>
      </c>
      <c r="E78" s="1"/>
      <c r="F78" s="5">
        <f t="shared" si="48"/>
        <v>0</v>
      </c>
      <c r="G78" s="1"/>
      <c r="H78" s="1">
        <f>SUM(OSRRefH22_16x_0)</f>
        <v>2784</v>
      </c>
      <c r="I78" s="1"/>
      <c r="J78" s="5">
        <f t="shared" si="49"/>
        <v>0</v>
      </c>
      <c r="K78" s="1"/>
      <c r="L78" s="1">
        <f t="shared" si="50"/>
        <v>88.789999999999964</v>
      </c>
      <c r="M78" s="1"/>
      <c r="N78" s="5">
        <f t="shared" si="51"/>
        <v>3.1892959770114929E-2</v>
      </c>
      <c r="O78" s="14"/>
      <c r="P78" s="1">
        <f>SUM(OSRRefP22_16x_0)</f>
        <v>6286.8700000000008</v>
      </c>
      <c r="Q78" s="1"/>
      <c r="R78" s="5">
        <f t="shared" si="52"/>
        <v>0</v>
      </c>
      <c r="S78" s="1"/>
      <c r="T78" s="1">
        <f>SUM(OSRRefT22_16x_0)</f>
        <v>10568</v>
      </c>
      <c r="U78" s="1"/>
      <c r="V78" s="5">
        <f t="shared" si="53"/>
        <v>0</v>
      </c>
      <c r="W78" s="1"/>
      <c r="X78" s="1">
        <f t="shared" si="54"/>
        <v>-4281.1299999999992</v>
      </c>
      <c r="Y78" s="1"/>
      <c r="Z78" s="5">
        <f t="shared" si="55"/>
        <v>-0.40510314155942462</v>
      </c>
    </row>
    <row r="79" spans="1:26" s="24" customFormat="1" hidden="1" outlineLevel="2" x14ac:dyDescent="0.3">
      <c r="A79" s="27"/>
      <c r="B79" s="11" t="str">
        <f>CONCATENATE("          ", "6234", " - ", "EXPENDABLE SUPPLIES &amp; EQUIPMEN")</f>
        <v xml:space="preserve">          6234 - EXPENDABLE SUPPLIES &amp; EQUIPMEN</v>
      </c>
      <c r="C79" s="11"/>
      <c r="D79" s="6">
        <v>26.1</v>
      </c>
      <c r="E79" s="2"/>
      <c r="F79" s="7">
        <f t="shared" si="48"/>
        <v>0</v>
      </c>
      <c r="G79" s="2"/>
      <c r="H79" s="6">
        <v>125</v>
      </c>
      <c r="I79" s="2"/>
      <c r="J79" s="7">
        <f t="shared" si="49"/>
        <v>0</v>
      </c>
      <c r="K79" s="2"/>
      <c r="L79" s="6">
        <f t="shared" si="50"/>
        <v>-98.9</v>
      </c>
      <c r="M79" s="2"/>
      <c r="N79" s="7">
        <f t="shared" si="51"/>
        <v>-0.79120000000000001</v>
      </c>
      <c r="O79" s="11"/>
      <c r="P79" s="6">
        <v>26.1</v>
      </c>
      <c r="Q79" s="2"/>
      <c r="R79" s="7">
        <f t="shared" si="52"/>
        <v>0</v>
      </c>
      <c r="S79" s="2"/>
      <c r="T79" s="6">
        <v>250</v>
      </c>
      <c r="U79" s="2"/>
      <c r="V79" s="7">
        <f t="shared" si="53"/>
        <v>0</v>
      </c>
      <c r="W79" s="2"/>
      <c r="X79" s="6">
        <f t="shared" si="54"/>
        <v>-223.9</v>
      </c>
      <c r="Y79" s="2"/>
      <c r="Z79" s="7">
        <f t="shared" si="55"/>
        <v>-0.89560000000000006</v>
      </c>
    </row>
    <row r="80" spans="1:26" s="24" customFormat="1" hidden="1" outlineLevel="2" x14ac:dyDescent="0.3">
      <c r="A80" s="27"/>
      <c r="B80" s="11" t="str">
        <f>CONCATENATE("          ", "6235", " - ", "COVID-19 EXPENSES")</f>
        <v xml:space="preserve">          6235 - COVID-19 EXPENSES</v>
      </c>
      <c r="C80" s="11"/>
      <c r="D80" s="6"/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0</v>
      </c>
      <c r="M80" s="2"/>
      <c r="N80" s="7">
        <f t="shared" si="51"/>
        <v>0</v>
      </c>
      <c r="O80" s="11"/>
      <c r="P80" s="6">
        <v>2447.77</v>
      </c>
      <c r="Q80" s="2"/>
      <c r="R80" s="7">
        <f t="shared" si="52"/>
        <v>0</v>
      </c>
      <c r="S80" s="2"/>
      <c r="T80" s="6"/>
      <c r="U80" s="2"/>
      <c r="V80" s="7">
        <f t="shared" si="53"/>
        <v>0</v>
      </c>
      <c r="W80" s="2"/>
      <c r="X80" s="6">
        <f t="shared" si="54"/>
        <v>2447.77</v>
      </c>
      <c r="Y80" s="2"/>
      <c r="Z80" s="7">
        <f t="shared" si="55"/>
        <v>0</v>
      </c>
    </row>
    <row r="81" spans="1:26" s="24" customFormat="1" hidden="1" outlineLevel="2" x14ac:dyDescent="0.3">
      <c r="A81" s="27"/>
      <c r="B81" s="11" t="str">
        <f>CONCATENATE("          ", "6241", " - ", "OFFICE EXPENSE")</f>
        <v xml:space="preserve">          6241 - OFFICE EXPENSE</v>
      </c>
      <c r="C81" s="11"/>
      <c r="D81" s="6">
        <v>1610</v>
      </c>
      <c r="E81" s="2"/>
      <c r="F81" s="7">
        <f t="shared" si="48"/>
        <v>0</v>
      </c>
      <c r="G81" s="2"/>
      <c r="H81" s="6">
        <v>2242</v>
      </c>
      <c r="I81" s="2"/>
      <c r="J81" s="7">
        <f t="shared" si="49"/>
        <v>0</v>
      </c>
      <c r="K81" s="2"/>
      <c r="L81" s="6">
        <f t="shared" si="50"/>
        <v>-632</v>
      </c>
      <c r="M81" s="2"/>
      <c r="N81" s="7">
        <f t="shared" si="51"/>
        <v>-0.28189116859946478</v>
      </c>
      <c r="O81" s="11"/>
      <c r="P81" s="6">
        <v>2401.31</v>
      </c>
      <c r="Q81" s="2"/>
      <c r="R81" s="7">
        <f t="shared" si="52"/>
        <v>0</v>
      </c>
      <c r="S81" s="2"/>
      <c r="T81" s="6">
        <v>4484</v>
      </c>
      <c r="U81" s="2"/>
      <c r="V81" s="7">
        <f t="shared" si="53"/>
        <v>0</v>
      </c>
      <c r="W81" s="2"/>
      <c r="X81" s="6">
        <f t="shared" si="54"/>
        <v>-2082.69</v>
      </c>
      <c r="Y81" s="2"/>
      <c r="Z81" s="7">
        <f t="shared" si="55"/>
        <v>-0.46447145405887602</v>
      </c>
    </row>
    <row r="82" spans="1:26" s="24" customFormat="1" hidden="1" outlineLevel="2" x14ac:dyDescent="0.3">
      <c r="A82" s="27"/>
      <c r="B82" s="11" t="str">
        <f>CONCATENATE("          ", "6244", " - ", "SAFETY SUPPLY EXPENSE")</f>
        <v xml:space="preserve">          6244 - SAFETY SUPPLY EXPENSE</v>
      </c>
      <c r="C82" s="11"/>
      <c r="D82" s="6">
        <v>25</v>
      </c>
      <c r="E82" s="2"/>
      <c r="F82" s="7">
        <f t="shared" si="48"/>
        <v>0</v>
      </c>
      <c r="G82" s="2"/>
      <c r="H82" s="6">
        <v>417</v>
      </c>
      <c r="I82" s="2"/>
      <c r="J82" s="7">
        <f t="shared" si="49"/>
        <v>0</v>
      </c>
      <c r="K82" s="2"/>
      <c r="L82" s="6">
        <f t="shared" si="50"/>
        <v>-392</v>
      </c>
      <c r="M82" s="2"/>
      <c r="N82" s="7">
        <f t="shared" si="51"/>
        <v>-0.94004796163069548</v>
      </c>
      <c r="O82" s="11"/>
      <c r="P82" s="6">
        <v>200</v>
      </c>
      <c r="Q82" s="2"/>
      <c r="R82" s="7">
        <f t="shared" si="52"/>
        <v>0</v>
      </c>
      <c r="S82" s="2"/>
      <c r="T82" s="6">
        <v>834</v>
      </c>
      <c r="U82" s="2"/>
      <c r="V82" s="7">
        <f t="shared" si="53"/>
        <v>0</v>
      </c>
      <c r="W82" s="2"/>
      <c r="X82" s="6">
        <f t="shared" si="54"/>
        <v>-634</v>
      </c>
      <c r="Y82" s="2"/>
      <c r="Z82" s="7">
        <f t="shared" si="55"/>
        <v>-0.76019184652278182</v>
      </c>
    </row>
    <row r="83" spans="1:26" s="24" customFormat="1" hidden="1" outlineLevel="2" x14ac:dyDescent="0.3">
      <c r="A83" s="27"/>
      <c r="B83" s="11" t="str">
        <f>CONCATENATE("          ", "6247", " - ", "STORE SUPPLIES")</f>
        <v xml:space="preserve">          6247 - STORE SUPPLIES</v>
      </c>
      <c r="C83" s="11"/>
      <c r="D83" s="6"/>
      <c r="E83" s="2"/>
      <c r="F83" s="7">
        <f t="shared" si="48"/>
        <v>0</v>
      </c>
      <c r="G83" s="2"/>
      <c r="H83" s="6"/>
      <c r="I83" s="2"/>
      <c r="J83" s="7">
        <f t="shared" si="49"/>
        <v>0</v>
      </c>
      <c r="K83" s="2"/>
      <c r="L83" s="6">
        <f t="shared" si="50"/>
        <v>0</v>
      </c>
      <c r="M83" s="2"/>
      <c r="N83" s="7">
        <f t="shared" si="51"/>
        <v>0</v>
      </c>
      <c r="O83" s="11"/>
      <c r="P83" s="6"/>
      <c r="Q83" s="2"/>
      <c r="R83" s="7">
        <f t="shared" si="52"/>
        <v>0</v>
      </c>
      <c r="S83" s="2"/>
      <c r="T83" s="6">
        <v>5000</v>
      </c>
      <c r="U83" s="2"/>
      <c r="V83" s="7">
        <f t="shared" si="53"/>
        <v>0</v>
      </c>
      <c r="W83" s="2"/>
      <c r="X83" s="6">
        <f t="shared" si="54"/>
        <v>-5000</v>
      </c>
      <c r="Y83" s="2"/>
      <c r="Z83" s="7">
        <f t="shared" si="55"/>
        <v>-1</v>
      </c>
    </row>
    <row r="84" spans="1:26" s="24" customFormat="1" hidden="1" outlineLevel="2" x14ac:dyDescent="0.3">
      <c r="A84" s="27"/>
      <c r="B84" s="11" t="str">
        <f>CONCATENATE("          ", "6248", " - ", "UNIFORMS")</f>
        <v xml:space="preserve">          6248 - UNIFORMS</v>
      </c>
      <c r="C84" s="11"/>
      <c r="D84" s="6">
        <v>1211.69</v>
      </c>
      <c r="E84" s="2"/>
      <c r="F84" s="7">
        <f t="shared" si="48"/>
        <v>0</v>
      </c>
      <c r="G84" s="2"/>
      <c r="H84" s="6"/>
      <c r="I84" s="2"/>
      <c r="J84" s="7">
        <f t="shared" si="49"/>
        <v>0</v>
      </c>
      <c r="K84" s="2"/>
      <c r="L84" s="6">
        <f t="shared" si="50"/>
        <v>1211.69</v>
      </c>
      <c r="M84" s="2"/>
      <c r="N84" s="7">
        <f t="shared" si="51"/>
        <v>0</v>
      </c>
      <c r="O84" s="11"/>
      <c r="P84" s="6">
        <v>1211.69</v>
      </c>
      <c r="Q84" s="2"/>
      <c r="R84" s="7">
        <f t="shared" si="52"/>
        <v>0</v>
      </c>
      <c r="S84" s="2"/>
      <c r="T84" s="6"/>
      <c r="U84" s="2"/>
      <c r="V84" s="7">
        <f t="shared" si="53"/>
        <v>0</v>
      </c>
      <c r="W84" s="2"/>
      <c r="X84" s="6">
        <f t="shared" si="54"/>
        <v>1211.69</v>
      </c>
      <c r="Y84" s="2"/>
      <c r="Z84" s="7">
        <f t="shared" si="55"/>
        <v>0</v>
      </c>
    </row>
    <row r="85" spans="1:26" s="28" customFormat="1" outlineLevel="1" collapsed="1" x14ac:dyDescent="0.3">
      <c r="A85" s="29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SUM(OSRRefD22_17x_0)</f>
        <v>2002.23</v>
      </c>
      <c r="E85" s="1"/>
      <c r="F85" s="5">
        <f t="shared" ref="F85:F87" si="56">IF(D$12=0,0,D85/D$12)</f>
        <v>0</v>
      </c>
      <c r="G85" s="1"/>
      <c r="H85" s="1">
        <f>SUM(OSRRefH22_17x_0)</f>
        <v>1805</v>
      </c>
      <c r="I85" s="1"/>
      <c r="J85" s="5">
        <f t="shared" ref="J85:J87" si="57">IF(H$12=0,0,H85/H$12)</f>
        <v>0</v>
      </c>
      <c r="K85" s="1"/>
      <c r="L85" s="1">
        <f t="shared" ref="L85:L87" si="58">+D85-H85</f>
        <v>197.23000000000002</v>
      </c>
      <c r="M85" s="1"/>
      <c r="N85" s="5">
        <f t="shared" ref="N85:N87" si="59">IF(H85=0,0,L85/H85)</f>
        <v>0.10926869806094183</v>
      </c>
      <c r="O85" s="14"/>
      <c r="P85" s="1">
        <f>SUM(OSRRefP22_17x_0)</f>
        <v>4517.57</v>
      </c>
      <c r="Q85" s="1"/>
      <c r="R85" s="5">
        <f t="shared" ref="R85:R87" si="60">IF(P$12=0,0,P85/P$12)</f>
        <v>0</v>
      </c>
      <c r="S85" s="1"/>
      <c r="T85" s="1">
        <f>SUM(OSRRefT22_17x_0)</f>
        <v>3610</v>
      </c>
      <c r="U85" s="1"/>
      <c r="V85" s="5">
        <f t="shared" ref="V85:V87" si="61">IF(T$12=0,0,T85/T$12)</f>
        <v>0</v>
      </c>
      <c r="W85" s="1"/>
      <c r="X85" s="1">
        <f t="shared" ref="X85:X87" si="62">+P85-T85</f>
        <v>907.56999999999971</v>
      </c>
      <c r="Y85" s="1"/>
      <c r="Z85" s="5">
        <f t="shared" ref="Z85:Z87" si="63">IF(T85=0,0,X85/T85)</f>
        <v>0.25140443213296393</v>
      </c>
    </row>
    <row r="86" spans="1:26" s="24" customFormat="1" hidden="1" outlineLevel="2" x14ac:dyDescent="0.3">
      <c r="A86" s="27"/>
      <c r="B86" s="11" t="str">
        <f>CONCATENATE("          ", "6303", " - ", "DATA PHONE LINES")</f>
        <v xml:space="preserve">          6303 - DATA PHONE LINES</v>
      </c>
      <c r="C86" s="11"/>
      <c r="D86" s="6">
        <v>161.97999999999999</v>
      </c>
      <c r="E86" s="2"/>
      <c r="F86" s="7">
        <f t="shared" si="56"/>
        <v>0</v>
      </c>
      <c r="G86" s="2"/>
      <c r="H86" s="6">
        <v>236</v>
      </c>
      <c r="I86" s="2"/>
      <c r="J86" s="7">
        <f t="shared" si="57"/>
        <v>0</v>
      </c>
      <c r="K86" s="2"/>
      <c r="L86" s="6">
        <f t="shared" si="58"/>
        <v>-74.02000000000001</v>
      </c>
      <c r="M86" s="2"/>
      <c r="N86" s="7">
        <f t="shared" si="59"/>
        <v>-0.31364406779661019</v>
      </c>
      <c r="O86" s="11"/>
      <c r="P86" s="6">
        <v>323.95999999999998</v>
      </c>
      <c r="Q86" s="2"/>
      <c r="R86" s="7">
        <f t="shared" si="60"/>
        <v>0</v>
      </c>
      <c r="S86" s="2"/>
      <c r="T86" s="6">
        <v>472</v>
      </c>
      <c r="U86" s="2"/>
      <c r="V86" s="7">
        <f t="shared" si="61"/>
        <v>0</v>
      </c>
      <c r="W86" s="2"/>
      <c r="X86" s="6">
        <f t="shared" si="62"/>
        <v>-148.04000000000002</v>
      </c>
      <c r="Y86" s="2"/>
      <c r="Z86" s="7">
        <f t="shared" si="63"/>
        <v>-0.31364406779661019</v>
      </c>
    </row>
    <row r="87" spans="1:26" s="24" customFormat="1" hidden="1" outlineLevel="2" x14ac:dyDescent="0.3">
      <c r="A87" s="27"/>
      <c r="B87" s="11" t="str">
        <f>CONCATENATE("          ", "6309", " - ", "TELEPHONE")</f>
        <v xml:space="preserve">          6309 - TELEPHONE</v>
      </c>
      <c r="C87" s="11"/>
      <c r="D87" s="6">
        <v>1840.25</v>
      </c>
      <c r="E87" s="2"/>
      <c r="F87" s="7">
        <f t="shared" si="56"/>
        <v>0</v>
      </c>
      <c r="G87" s="2"/>
      <c r="H87" s="6">
        <v>1569</v>
      </c>
      <c r="I87" s="2"/>
      <c r="J87" s="7">
        <f t="shared" si="57"/>
        <v>0</v>
      </c>
      <c r="K87" s="2"/>
      <c r="L87" s="6">
        <f t="shared" si="58"/>
        <v>271.25</v>
      </c>
      <c r="M87" s="2"/>
      <c r="N87" s="7">
        <f t="shared" si="59"/>
        <v>0.17288081580624601</v>
      </c>
      <c r="O87" s="11"/>
      <c r="P87" s="6">
        <v>4193.6099999999997</v>
      </c>
      <c r="Q87" s="2"/>
      <c r="R87" s="7">
        <f t="shared" si="60"/>
        <v>0</v>
      </c>
      <c r="S87" s="2"/>
      <c r="T87" s="6">
        <v>3138</v>
      </c>
      <c r="U87" s="2"/>
      <c r="V87" s="7">
        <f t="shared" si="61"/>
        <v>0</v>
      </c>
      <c r="W87" s="2"/>
      <c r="X87" s="6">
        <f t="shared" si="62"/>
        <v>1055.6099999999997</v>
      </c>
      <c r="Y87" s="2"/>
      <c r="Z87" s="7">
        <f t="shared" si="63"/>
        <v>0.33639579349904386</v>
      </c>
    </row>
    <row r="88" spans="1:26" s="28" customFormat="1" outlineLevel="1" collapsed="1" x14ac:dyDescent="0.3">
      <c r="A88" s="29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SUM(OSRRefD22_18x_0)</f>
        <v>595</v>
      </c>
      <c r="E88" s="1"/>
      <c r="F88" s="5">
        <f t="shared" ref="F88:F91" si="64">IF(D$12=0,0,D88/D$12)</f>
        <v>0</v>
      </c>
      <c r="G88" s="1"/>
      <c r="H88" s="1">
        <f>SUM(OSRRefH22_18x_0)</f>
        <v>333</v>
      </c>
      <c r="I88" s="1"/>
      <c r="J88" s="5">
        <f t="shared" ref="J88:J91" si="65">IF(H$12=0,0,H88/H$12)</f>
        <v>0</v>
      </c>
      <c r="K88" s="1"/>
      <c r="L88" s="1">
        <f t="shared" ref="L88:L91" si="66">+D88-H88</f>
        <v>262</v>
      </c>
      <c r="M88" s="1"/>
      <c r="N88" s="5">
        <f t="shared" ref="N88:N91" si="67">IF(H88=0,0,L88/H88)</f>
        <v>0.78678678678678682</v>
      </c>
      <c r="O88" s="14"/>
      <c r="P88" s="1">
        <f>SUM(OSRRefP22_18x_0)</f>
        <v>595</v>
      </c>
      <c r="Q88" s="1"/>
      <c r="R88" s="5">
        <f t="shared" ref="R88:R91" si="68">IF(P$12=0,0,P88/P$12)</f>
        <v>0</v>
      </c>
      <c r="S88" s="1"/>
      <c r="T88" s="1">
        <f>SUM(OSRRefT22_18x_0)</f>
        <v>1666</v>
      </c>
      <c r="U88" s="1"/>
      <c r="V88" s="5">
        <f t="shared" ref="V88:V91" si="69">IF(T$12=0,0,T88/T$12)</f>
        <v>0</v>
      </c>
      <c r="W88" s="1"/>
      <c r="X88" s="1">
        <f t="shared" ref="X88:X91" si="70">+P88-T88</f>
        <v>-1071</v>
      </c>
      <c r="Y88" s="1"/>
      <c r="Z88" s="5">
        <f t="shared" ref="Z88:Z91" si="71">IF(T88=0,0,X88/T88)</f>
        <v>-0.6428571428571429</v>
      </c>
    </row>
    <row r="89" spans="1:26" s="24" customFormat="1" hidden="1" outlineLevel="2" x14ac:dyDescent="0.3">
      <c r="A89" s="27"/>
      <c r="B89" s="11" t="str">
        <f>CONCATENATE("          ", "6376", " - ", "TRAINING")</f>
        <v xml:space="preserve">          6376 - TRAINING</v>
      </c>
      <c r="C89" s="11"/>
      <c r="D89" s="6">
        <v>595</v>
      </c>
      <c r="E89" s="2"/>
      <c r="F89" s="7">
        <f t="shared" si="64"/>
        <v>0</v>
      </c>
      <c r="G89" s="2"/>
      <c r="H89" s="6">
        <v>333</v>
      </c>
      <c r="I89" s="2"/>
      <c r="J89" s="7">
        <f t="shared" si="65"/>
        <v>0</v>
      </c>
      <c r="K89" s="2"/>
      <c r="L89" s="6">
        <f t="shared" si="66"/>
        <v>262</v>
      </c>
      <c r="M89" s="2"/>
      <c r="N89" s="7">
        <f t="shared" si="67"/>
        <v>0.78678678678678682</v>
      </c>
      <c r="O89" s="11"/>
      <c r="P89" s="6">
        <v>595</v>
      </c>
      <c r="Q89" s="2"/>
      <c r="R89" s="7">
        <f t="shared" si="68"/>
        <v>0</v>
      </c>
      <c r="S89" s="2"/>
      <c r="T89" s="6">
        <v>1666</v>
      </c>
      <c r="U89" s="2"/>
      <c r="V89" s="7">
        <f t="shared" si="69"/>
        <v>0</v>
      </c>
      <c r="W89" s="2"/>
      <c r="X89" s="6">
        <f t="shared" si="70"/>
        <v>-1071</v>
      </c>
      <c r="Y89" s="2"/>
      <c r="Z89" s="7">
        <f t="shared" si="71"/>
        <v>-0.6428571428571429</v>
      </c>
    </row>
    <row r="90" spans="1:26" s="28" customFormat="1" outlineLevel="1" collapsed="1" x14ac:dyDescent="0.3">
      <c r="A90" s="29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SUM(OSRRefD22_19x_0)</f>
        <v>0</v>
      </c>
      <c r="E90" s="1"/>
      <c r="F90" s="5">
        <f t="shared" si="64"/>
        <v>0</v>
      </c>
      <c r="G90" s="1"/>
      <c r="H90" s="1">
        <f>SUM(OSRRefH22_19x_0)</f>
        <v>0</v>
      </c>
      <c r="I90" s="1"/>
      <c r="J90" s="5">
        <f t="shared" si="65"/>
        <v>0</v>
      </c>
      <c r="K90" s="1"/>
      <c r="L90" s="1">
        <f t="shared" si="66"/>
        <v>0</v>
      </c>
      <c r="M90" s="1"/>
      <c r="N90" s="5">
        <f t="shared" si="67"/>
        <v>0</v>
      </c>
      <c r="O90" s="14"/>
      <c r="P90" s="1">
        <f>SUM(OSRRefP22_19x_0)</f>
        <v>17.100000000000001</v>
      </c>
      <c r="Q90" s="1"/>
      <c r="R90" s="5">
        <f t="shared" si="68"/>
        <v>0</v>
      </c>
      <c r="S90" s="1"/>
      <c r="T90" s="1">
        <f>SUM(OSRRefT22_19x_0)</f>
        <v>0</v>
      </c>
      <c r="U90" s="1"/>
      <c r="V90" s="5">
        <f t="shared" si="69"/>
        <v>0</v>
      </c>
      <c r="W90" s="1"/>
      <c r="X90" s="1">
        <f t="shared" si="70"/>
        <v>17.100000000000001</v>
      </c>
      <c r="Y90" s="1"/>
      <c r="Z90" s="5">
        <f t="shared" si="71"/>
        <v>0</v>
      </c>
    </row>
    <row r="91" spans="1:26" s="24" customFormat="1" hidden="1" outlineLevel="2" x14ac:dyDescent="0.3">
      <c r="A91" s="27"/>
      <c r="B91" s="11" t="str">
        <f>CONCATENATE("          ", "6294", " - ", "TRAVEL OPERATIONAL")</f>
        <v xml:space="preserve">          6294 - TRAVEL OPERATIONAL</v>
      </c>
      <c r="C91" s="11"/>
      <c r="D91" s="6"/>
      <c r="E91" s="2"/>
      <c r="F91" s="7">
        <f t="shared" si="64"/>
        <v>0</v>
      </c>
      <c r="G91" s="2"/>
      <c r="H91" s="6"/>
      <c r="I91" s="2"/>
      <c r="J91" s="7">
        <f t="shared" si="65"/>
        <v>0</v>
      </c>
      <c r="K91" s="2"/>
      <c r="L91" s="6">
        <f t="shared" si="66"/>
        <v>0</v>
      </c>
      <c r="M91" s="2"/>
      <c r="N91" s="7">
        <f t="shared" si="67"/>
        <v>0</v>
      </c>
      <c r="O91" s="11"/>
      <c r="P91" s="6">
        <v>17.100000000000001</v>
      </c>
      <c r="Q91" s="2"/>
      <c r="R91" s="7">
        <f t="shared" si="68"/>
        <v>0</v>
      </c>
      <c r="S91" s="2"/>
      <c r="T91" s="6"/>
      <c r="U91" s="2"/>
      <c r="V91" s="7">
        <f t="shared" si="69"/>
        <v>0</v>
      </c>
      <c r="W91" s="2"/>
      <c r="X91" s="6">
        <f t="shared" si="70"/>
        <v>17.100000000000001</v>
      </c>
      <c r="Y91" s="2"/>
      <c r="Z91" s="7">
        <f t="shared" si="71"/>
        <v>0</v>
      </c>
    </row>
    <row r="92" spans="1:26" s="53" customFormat="1" x14ac:dyDescent="0.3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3">
      <c r="A93" s="10"/>
      <c r="B93" s="25" t="s">
        <v>293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3">
      <c r="A95" s="10"/>
      <c r="B95" s="26" t="s">
        <v>277</v>
      </c>
      <c r="C95" s="26"/>
      <c r="D95" s="21">
        <f>+D16-D18+D93</f>
        <v>-214290.75</v>
      </c>
      <c r="E95" s="13"/>
      <c r="F95" s="20">
        <f>IF(D$12=0,0,D95/D$12)</f>
        <v>0</v>
      </c>
      <c r="G95" s="13"/>
      <c r="H95" s="21">
        <f>+H16-H18+H93</f>
        <v>-242457.21559984001</v>
      </c>
      <c r="I95" s="13"/>
      <c r="J95" s="20">
        <f>IF(H$12=0,0,H95/H$12)</f>
        <v>0</v>
      </c>
      <c r="K95" s="16"/>
      <c r="L95" s="21">
        <f>+D95-H95</f>
        <v>28166.465599840012</v>
      </c>
      <c r="M95" s="16"/>
      <c r="N95" s="20">
        <f>IF(H95=0,0,L95/H95)</f>
        <v>-0.11617086969408634</v>
      </c>
      <c r="O95" s="25"/>
      <c r="P95" s="21">
        <f>+P16-P18+P93</f>
        <v>-447205.60999999993</v>
      </c>
      <c r="Q95" s="13"/>
      <c r="R95" s="20">
        <f>IF(P$12=0,0,P95/P$12)</f>
        <v>0</v>
      </c>
      <c r="S95" s="13"/>
      <c r="T95" s="21">
        <f>+T16-T18+T93</f>
        <v>-515922.23509963986</v>
      </c>
      <c r="U95" s="13"/>
      <c r="V95" s="20">
        <f>IF(T$12=0,0,T95/T$12)</f>
        <v>0</v>
      </c>
      <c r="W95" s="16"/>
      <c r="X95" s="21">
        <f>+P95-T95</f>
        <v>68716.625099639932</v>
      </c>
      <c r="Y95" s="16"/>
      <c r="Z95" s="20">
        <f>IF(T95=0,0,X95/T95)</f>
        <v>-0.13319182703255408</v>
      </c>
    </row>
    <row r="96" spans="1:26" x14ac:dyDescent="0.3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3">
      <c r="A97" s="52"/>
      <c r="B97" s="10" t="s">
        <v>128</v>
      </c>
      <c r="C97" s="10"/>
      <c r="D97" s="4"/>
      <c r="E97" s="4"/>
      <c r="F97" s="12">
        <f>IF(D$12=0,0,D97/D$12)</f>
        <v>0</v>
      </c>
      <c r="G97" s="4"/>
      <c r="H97" s="4"/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/>
      <c r="Q97" s="4"/>
      <c r="R97" s="12">
        <f>IF(P$12=0,0,P97/P$12)</f>
        <v>0</v>
      </c>
      <c r="S97" s="4"/>
      <c r="T97" s="4"/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3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6" t="s">
        <v>126</v>
      </c>
      <c r="C99" s="26"/>
      <c r="D99" s="30">
        <f>+D95-D97</f>
        <v>-214290.75</v>
      </c>
      <c r="E99" s="13"/>
      <c r="F99" s="35">
        <f>IF(D$12=0,0,D99/D$12)</f>
        <v>0</v>
      </c>
      <c r="G99" s="13"/>
      <c r="H99" s="30">
        <f>+H95-H97</f>
        <v>-242457.21559984001</v>
      </c>
      <c r="I99" s="13"/>
      <c r="J99" s="35">
        <f>IF(H$12=0,0,H99/H$12)</f>
        <v>0</v>
      </c>
      <c r="K99" s="16"/>
      <c r="L99" s="30">
        <f>D99-H99</f>
        <v>28166.465599840012</v>
      </c>
      <c r="M99" s="16"/>
      <c r="N99" s="35">
        <f>IF(H99=0,0,L99/H99)</f>
        <v>-0.11617086969408634</v>
      </c>
      <c r="O99" s="25"/>
      <c r="P99" s="30">
        <f>+P95-P97</f>
        <v>-447205.60999999993</v>
      </c>
      <c r="Q99" s="13"/>
      <c r="R99" s="35">
        <f>IF(P$12=0,0,P99/P$12)</f>
        <v>0</v>
      </c>
      <c r="S99" s="13"/>
      <c r="T99" s="30">
        <f>+T95-T97</f>
        <v>-515922.23509963986</v>
      </c>
      <c r="U99" s="13"/>
      <c r="V99" s="35">
        <f>IF(T$12=0,0,T99/T$12)</f>
        <v>0</v>
      </c>
      <c r="W99" s="16"/>
      <c r="X99" s="30">
        <f>P99-T99</f>
        <v>68716.625099639932</v>
      </c>
      <c r="Y99" s="16"/>
      <c r="Z99" s="35">
        <f>IF(T99=0,0,X99/T99)</f>
        <v>-0.13319182703255408</v>
      </c>
    </row>
    <row r="100" spans="1:26" ht="15" thickTop="1" x14ac:dyDescent="0.3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3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" thickBot="1" x14ac:dyDescent="0.35">
      <c r="A102" s="10"/>
      <c r="B102" s="26" t="s">
        <v>294</v>
      </c>
      <c r="C102" s="26"/>
      <c r="D102" s="32">
        <f>SUM(D99:D101)</f>
        <v>-214290.75</v>
      </c>
      <c r="E102" s="13"/>
      <c r="F102" s="34">
        <f>IF(D$12=0,0,D102/D$12)</f>
        <v>0</v>
      </c>
      <c r="G102" s="13"/>
      <c r="H102" s="32">
        <f>SUM(H99:H101)</f>
        <v>-242457.21559984001</v>
      </c>
      <c r="I102" s="13"/>
      <c r="J102" s="34">
        <f>IF(H$12=0,0,H102/H$12)</f>
        <v>0</v>
      </c>
      <c r="K102" s="16"/>
      <c r="L102" s="32">
        <f>+D102-H102</f>
        <v>28166.465599840012</v>
      </c>
      <c r="M102" s="16"/>
      <c r="N102" s="34">
        <f>IF(H102=0,0,L102/H102)</f>
        <v>-0.11617086969408634</v>
      </c>
      <c r="O102" s="25"/>
      <c r="P102" s="32">
        <f>SUM(P99:P101)</f>
        <v>-447205.60999999993</v>
      </c>
      <c r="Q102" s="13"/>
      <c r="R102" s="34">
        <f>IF(P$12=0,0,P102/P$12)</f>
        <v>0</v>
      </c>
      <c r="S102" s="13"/>
      <c r="T102" s="32">
        <f>SUM(T99:T101)</f>
        <v>-515922.23509963986</v>
      </c>
      <c r="U102" s="13"/>
      <c r="V102" s="34">
        <f>IF(T$12=0,0,T102/T$12)</f>
        <v>0</v>
      </c>
      <c r="W102" s="16"/>
      <c r="X102" s="32">
        <f>+P102-T102</f>
        <v>68716.625099639932</v>
      </c>
      <c r="Y102" s="16"/>
      <c r="Z102" s="34">
        <f>IF(T102=0,0,X102/T102)</f>
        <v>-0.13319182703255408</v>
      </c>
    </row>
    <row r="103" spans="1:26" ht="15" thickTop="1" x14ac:dyDescent="0.3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3">
      <c r="A104" s="9"/>
      <c r="B104" s="61">
        <v>44470.83544383102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3">
      <c r="A105" s="9"/>
      <c r="B105" s="58" t="s">
        <v>56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3">
      <c r="A106" s="9"/>
      <c r="B106" s="55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3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","200", " - ", "Corporate Expense")</f>
        <v>Department 200 - Corporate Expense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38380.83</v>
      </c>
      <c r="E18" s="22"/>
      <c r="F18" s="31">
        <f t="shared" ref="F18:F27" si="0">IF(D$12=0,0,D18/D$12)</f>
        <v>0</v>
      </c>
      <c r="G18" s="22"/>
      <c r="H18" s="22">
        <f>SUM(OSRRefH22x_0)</f>
        <v>36508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1872.8300000000017</v>
      </c>
      <c r="M18" s="4"/>
      <c r="N18" s="31">
        <f t="shared" ref="N18:N27" si="3">IF(H18=0,0,L18/H18)</f>
        <v>5.1299167305796041E-2</v>
      </c>
      <c r="O18" s="10"/>
      <c r="P18" s="22">
        <f>SUM(OSRRefP22x_0)</f>
        <v>68704.490000000005</v>
      </c>
      <c r="Q18" s="22"/>
      <c r="R18" s="31">
        <f t="shared" ref="R18:R27" si="4">IF(P$12=0,0,P18/P$12)</f>
        <v>0</v>
      </c>
      <c r="S18" s="22"/>
      <c r="T18" s="22">
        <f>SUM(OSRRefT22x_0)</f>
        <v>90016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-21311.509999999995</v>
      </c>
      <c r="Y18" s="4"/>
      <c r="Z18" s="31">
        <f t="shared" ref="Z18:Z27" si="7">IF(T18=0,0,X18/T18)</f>
        <v>-0.23675246622822604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26975.06</v>
      </c>
      <c r="E19" s="1"/>
      <c r="F19" s="5">
        <f t="shared" si="0"/>
        <v>0</v>
      </c>
      <c r="G19" s="1"/>
      <c r="H19" s="1">
        <f>SUM(OSRRefH22_0x_0)</f>
        <v>35000</v>
      </c>
      <c r="I19" s="1"/>
      <c r="J19" s="5">
        <f t="shared" si="1"/>
        <v>0</v>
      </c>
      <c r="K19" s="1"/>
      <c r="L19" s="1">
        <f t="shared" si="2"/>
        <v>-8024.9399999999987</v>
      </c>
      <c r="M19" s="1"/>
      <c r="N19" s="5">
        <f t="shared" si="3"/>
        <v>-0.22928399999999996</v>
      </c>
      <c r="O19" s="14"/>
      <c r="P19" s="1">
        <f>SUM(OSRRefP22_0x_0)</f>
        <v>54111.12</v>
      </c>
      <c r="Q19" s="1"/>
      <c r="R19" s="5">
        <f t="shared" si="4"/>
        <v>0</v>
      </c>
      <c r="S19" s="1"/>
      <c r="T19" s="1">
        <f>SUM(OSRRefT22_0x_0)</f>
        <v>70000</v>
      </c>
      <c r="U19" s="1"/>
      <c r="V19" s="5">
        <f t="shared" si="5"/>
        <v>0</v>
      </c>
      <c r="W19" s="1"/>
      <c r="X19" s="1">
        <f t="shared" si="6"/>
        <v>-15888.879999999997</v>
      </c>
      <c r="Y19" s="1"/>
      <c r="Z19" s="5">
        <f t="shared" si="7"/>
        <v>-0.22698399999999996</v>
      </c>
    </row>
    <row r="20" spans="1:26" s="24" customFormat="1" hidden="1" outlineLevel="2" x14ac:dyDescent="0.3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6">
        <v>26975.06</v>
      </c>
      <c r="E20" s="2"/>
      <c r="F20" s="7">
        <f t="shared" si="0"/>
        <v>0</v>
      </c>
      <c r="G20" s="2"/>
      <c r="H20" s="6">
        <v>35000</v>
      </c>
      <c r="I20" s="2"/>
      <c r="J20" s="7">
        <f t="shared" si="1"/>
        <v>0</v>
      </c>
      <c r="K20" s="2"/>
      <c r="L20" s="6">
        <f t="shared" si="2"/>
        <v>-8024.9399999999987</v>
      </c>
      <c r="M20" s="2"/>
      <c r="N20" s="7">
        <f t="shared" si="3"/>
        <v>-0.22928399999999996</v>
      </c>
      <c r="O20" s="11"/>
      <c r="P20" s="6">
        <v>54111.12</v>
      </c>
      <c r="Q20" s="2"/>
      <c r="R20" s="7">
        <f t="shared" si="4"/>
        <v>0</v>
      </c>
      <c r="S20" s="2"/>
      <c r="T20" s="6">
        <v>70000</v>
      </c>
      <c r="U20" s="2"/>
      <c r="V20" s="7">
        <f t="shared" si="5"/>
        <v>0</v>
      </c>
      <c r="W20" s="2"/>
      <c r="X20" s="6">
        <f t="shared" si="6"/>
        <v>-15888.879999999997</v>
      </c>
      <c r="Y20" s="2"/>
      <c r="Z20" s="7">
        <f t="shared" si="7"/>
        <v>-0.22698399999999996</v>
      </c>
    </row>
    <row r="21" spans="1:26" s="28" customFormat="1" outlineLevel="1" collapsed="1" x14ac:dyDescent="0.3">
      <c r="A21" s="29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1000</v>
      </c>
      <c r="I21" s="1"/>
      <c r="J21" s="5">
        <f t="shared" si="1"/>
        <v>0</v>
      </c>
      <c r="K21" s="1"/>
      <c r="L21" s="1">
        <f t="shared" si="2"/>
        <v>-993</v>
      </c>
      <c r="M21" s="1"/>
      <c r="N21" s="5">
        <f t="shared" si="3"/>
        <v>-0.99299999999999999</v>
      </c>
      <c r="O21" s="14"/>
      <c r="P21" s="1">
        <f>SUM(OSRRefP22_1x_0)</f>
        <v>2356.86</v>
      </c>
      <c r="Q21" s="1"/>
      <c r="R21" s="5">
        <f t="shared" si="4"/>
        <v>0</v>
      </c>
      <c r="S21" s="1"/>
      <c r="T21" s="1">
        <f>SUM(OSRRefT22_1x_0)</f>
        <v>3000</v>
      </c>
      <c r="U21" s="1"/>
      <c r="V21" s="5">
        <f t="shared" si="5"/>
        <v>0</v>
      </c>
      <c r="W21" s="1"/>
      <c r="X21" s="1">
        <f t="shared" si="6"/>
        <v>-643.13999999999987</v>
      </c>
      <c r="Y21" s="1"/>
      <c r="Z21" s="5">
        <f t="shared" si="7"/>
        <v>-0.21437999999999996</v>
      </c>
    </row>
    <row r="22" spans="1:26" s="24" customFormat="1" hidden="1" outlineLevel="2" x14ac:dyDescent="0.3">
      <c r="A22" s="27"/>
      <c r="B22" s="11" t="str">
        <f>CONCATENATE("          ", "6381", " - ", "BANK/CREDIT CARD FEES")</f>
        <v xml:space="preserve">          6381 - BANK/CREDIT CARD FEES</v>
      </c>
      <c r="C22" s="11"/>
      <c r="D22" s="6">
        <v>7</v>
      </c>
      <c r="E22" s="2"/>
      <c r="F22" s="7">
        <f t="shared" si="0"/>
        <v>0</v>
      </c>
      <c r="G22" s="2"/>
      <c r="H22" s="6">
        <v>1000</v>
      </c>
      <c r="I22" s="2"/>
      <c r="J22" s="7">
        <f t="shared" si="1"/>
        <v>0</v>
      </c>
      <c r="K22" s="2"/>
      <c r="L22" s="6">
        <f t="shared" si="2"/>
        <v>-993</v>
      </c>
      <c r="M22" s="2"/>
      <c r="N22" s="7">
        <f t="shared" si="3"/>
        <v>-0.99299999999999999</v>
      </c>
      <c r="O22" s="11"/>
      <c r="P22" s="6">
        <v>2356.86</v>
      </c>
      <c r="Q22" s="2"/>
      <c r="R22" s="7">
        <f t="shared" si="4"/>
        <v>0</v>
      </c>
      <c r="S22" s="2"/>
      <c r="T22" s="6">
        <v>3000</v>
      </c>
      <c r="U22" s="2"/>
      <c r="V22" s="7">
        <f t="shared" si="5"/>
        <v>0</v>
      </c>
      <c r="W22" s="2"/>
      <c r="X22" s="6">
        <f t="shared" si="6"/>
        <v>-643.13999999999987</v>
      </c>
      <c r="Y22" s="2"/>
      <c r="Z22" s="7">
        <f t="shared" si="7"/>
        <v>-0.21437999999999996</v>
      </c>
    </row>
    <row r="23" spans="1:26" s="28" customFormat="1" outlineLevel="1" collapsed="1" x14ac:dyDescent="0.3">
      <c r="A23" s="29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1061.02</v>
      </c>
      <c r="E23" s="1"/>
      <c r="F23" s="5">
        <f t="shared" si="0"/>
        <v>0</v>
      </c>
      <c r="G23" s="1"/>
      <c r="H23" s="1">
        <f>SUM(OSRRefH22_2x_0)</f>
        <v>508</v>
      </c>
      <c r="I23" s="1"/>
      <c r="J23" s="5">
        <f t="shared" si="1"/>
        <v>0</v>
      </c>
      <c r="K23" s="1"/>
      <c r="L23" s="1">
        <f t="shared" si="2"/>
        <v>553.02</v>
      </c>
      <c r="M23" s="1"/>
      <c r="N23" s="5">
        <f t="shared" si="3"/>
        <v>1.0886220472440944</v>
      </c>
      <c r="O23" s="14"/>
      <c r="P23" s="1">
        <f>SUM(OSRRefP22_2x_0)</f>
        <v>1898.76</v>
      </c>
      <c r="Q23" s="1"/>
      <c r="R23" s="5">
        <f t="shared" si="4"/>
        <v>0</v>
      </c>
      <c r="S23" s="1"/>
      <c r="T23" s="1">
        <f>SUM(OSRRefT22_2x_0)</f>
        <v>1016</v>
      </c>
      <c r="U23" s="1"/>
      <c r="V23" s="5">
        <f t="shared" si="5"/>
        <v>0</v>
      </c>
      <c r="W23" s="1"/>
      <c r="X23" s="1">
        <f t="shared" si="6"/>
        <v>882.76</v>
      </c>
      <c r="Y23" s="1"/>
      <c r="Z23" s="5">
        <f t="shared" si="7"/>
        <v>0.8688582677165354</v>
      </c>
    </row>
    <row r="24" spans="1:26" s="24" customFormat="1" hidden="1" outlineLevel="2" x14ac:dyDescent="0.3">
      <c r="A24" s="27"/>
      <c r="B24" s="11" t="str">
        <f>CONCATENATE("          ", "6397", " - ", "BOARD EXPENSES")</f>
        <v xml:space="preserve">          6397 - BOARD EXPENSES</v>
      </c>
      <c r="C24" s="11"/>
      <c r="D24" s="6">
        <v>1061.02</v>
      </c>
      <c r="E24" s="2"/>
      <c r="F24" s="7">
        <f t="shared" si="0"/>
        <v>0</v>
      </c>
      <c r="G24" s="2"/>
      <c r="H24" s="6">
        <v>508</v>
      </c>
      <c r="I24" s="2"/>
      <c r="J24" s="7">
        <f t="shared" si="1"/>
        <v>0</v>
      </c>
      <c r="K24" s="2"/>
      <c r="L24" s="6">
        <f t="shared" si="2"/>
        <v>553.02</v>
      </c>
      <c r="M24" s="2"/>
      <c r="N24" s="7">
        <f t="shared" si="3"/>
        <v>1.0886220472440944</v>
      </c>
      <c r="O24" s="11"/>
      <c r="P24" s="6">
        <v>1898.76</v>
      </c>
      <c r="Q24" s="2"/>
      <c r="R24" s="7">
        <f t="shared" si="4"/>
        <v>0</v>
      </c>
      <c r="S24" s="2"/>
      <c r="T24" s="6">
        <v>1016</v>
      </c>
      <c r="U24" s="2"/>
      <c r="V24" s="7">
        <f t="shared" si="5"/>
        <v>0</v>
      </c>
      <c r="W24" s="2"/>
      <c r="X24" s="6">
        <f t="shared" si="6"/>
        <v>882.76</v>
      </c>
      <c r="Y24" s="2"/>
      <c r="Z24" s="7">
        <f t="shared" si="7"/>
        <v>0.8688582677165354</v>
      </c>
    </row>
    <row r="25" spans="1:26" s="28" customFormat="1" outlineLevel="1" collapsed="1" x14ac:dyDescent="0.3">
      <c r="A25" s="29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10337.75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10337.75</v>
      </c>
      <c r="M25" s="1"/>
      <c r="N25" s="5">
        <f t="shared" si="3"/>
        <v>0</v>
      </c>
      <c r="O25" s="14"/>
      <c r="P25" s="1">
        <f>SUM(OSRRefP22_3x_0)</f>
        <v>10337.75</v>
      </c>
      <c r="Q25" s="1"/>
      <c r="R25" s="5">
        <f t="shared" si="4"/>
        <v>0</v>
      </c>
      <c r="S25" s="1"/>
      <c r="T25" s="1">
        <f>SUM(OSRRefT22_3x_0)</f>
        <v>16000</v>
      </c>
      <c r="U25" s="1"/>
      <c r="V25" s="5">
        <f t="shared" si="5"/>
        <v>0</v>
      </c>
      <c r="W25" s="1"/>
      <c r="X25" s="1">
        <f t="shared" si="6"/>
        <v>-5662.25</v>
      </c>
      <c r="Y25" s="1"/>
      <c r="Z25" s="5">
        <f t="shared" si="7"/>
        <v>-0.35389062500000001</v>
      </c>
    </row>
    <row r="26" spans="1:26" s="24" customFormat="1" hidden="1" outlineLevel="2" x14ac:dyDescent="0.3">
      <c r="A26" s="27"/>
      <c r="B26" s="11" t="str">
        <f>CONCATENATE("          ", "6331", " - ", "INDIRECT COSTS-AUXILIARY ORGAN")</f>
        <v xml:space="preserve">          6331 - INDIRECT COSTS-AUXILIARY ORGAN</v>
      </c>
      <c r="C26" s="11"/>
      <c r="D26" s="6">
        <v>10337.75</v>
      </c>
      <c r="E26" s="2"/>
      <c r="F26" s="7">
        <f t="shared" si="0"/>
        <v>0</v>
      </c>
      <c r="G26" s="2"/>
      <c r="H26" s="6">
        <v>0</v>
      </c>
      <c r="I26" s="2"/>
      <c r="J26" s="7">
        <f t="shared" si="1"/>
        <v>0</v>
      </c>
      <c r="K26" s="2"/>
      <c r="L26" s="6">
        <f t="shared" si="2"/>
        <v>10337.75</v>
      </c>
      <c r="M26" s="2"/>
      <c r="N26" s="7">
        <f t="shared" si="3"/>
        <v>0</v>
      </c>
      <c r="O26" s="11"/>
      <c r="P26" s="6">
        <v>10337.75</v>
      </c>
      <c r="Q26" s="2"/>
      <c r="R26" s="7">
        <f t="shared" si="4"/>
        <v>0</v>
      </c>
      <c r="S26" s="2"/>
      <c r="T26" s="6">
        <v>13000</v>
      </c>
      <c r="U26" s="2"/>
      <c r="V26" s="7">
        <f t="shared" si="5"/>
        <v>0</v>
      </c>
      <c r="W26" s="2"/>
      <c r="X26" s="6">
        <f t="shared" si="6"/>
        <v>-2662.25</v>
      </c>
      <c r="Y26" s="2"/>
      <c r="Z26" s="7">
        <f t="shared" si="7"/>
        <v>-0.20478846153846153</v>
      </c>
    </row>
    <row r="27" spans="1:26" s="24" customFormat="1" hidden="1" outlineLevel="2" x14ac:dyDescent="0.3">
      <c r="A27" s="27"/>
      <c r="B27" s="11" t="str">
        <f>CONCATENATE("          ", "6332", " - ", "CONSULTANT FEES")</f>
        <v xml:space="preserve">          6332 - CONSULTANT FEES</v>
      </c>
      <c r="C27" s="11"/>
      <c r="D27" s="6"/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3000</v>
      </c>
      <c r="U27" s="2"/>
      <c r="V27" s="7">
        <f t="shared" si="5"/>
        <v>0</v>
      </c>
      <c r="W27" s="2"/>
      <c r="X27" s="6">
        <f t="shared" si="6"/>
        <v>-3000</v>
      </c>
      <c r="Y27" s="2"/>
      <c r="Z27" s="7">
        <f t="shared" si="7"/>
        <v>-1</v>
      </c>
    </row>
    <row r="28" spans="1:26" s="53" customFormat="1" x14ac:dyDescent="0.3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5" t="s">
        <v>293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277</v>
      </c>
      <c r="C31" s="26"/>
      <c r="D31" s="21">
        <f>+D16-D18+D29</f>
        <v>-38380.83</v>
      </c>
      <c r="E31" s="13"/>
      <c r="F31" s="20">
        <f>IF(D$12=0,0,D31/D$12)</f>
        <v>0</v>
      </c>
      <c r="G31" s="13"/>
      <c r="H31" s="21">
        <f>+H16-H18+H29</f>
        <v>-36508</v>
      </c>
      <c r="I31" s="13"/>
      <c r="J31" s="20">
        <f>IF(H$12=0,0,H31/H$12)</f>
        <v>0</v>
      </c>
      <c r="K31" s="16"/>
      <c r="L31" s="21">
        <f>+D31-H31</f>
        <v>-1872.8300000000017</v>
      </c>
      <c r="M31" s="16"/>
      <c r="N31" s="20">
        <f>IF(H31=0,0,L31/H31)</f>
        <v>5.1299167305796041E-2</v>
      </c>
      <c r="O31" s="25"/>
      <c r="P31" s="21">
        <f>+P16-P18+P29</f>
        <v>-68704.490000000005</v>
      </c>
      <c r="Q31" s="13"/>
      <c r="R31" s="20">
        <f>IF(P$12=0,0,P31/P$12)</f>
        <v>0</v>
      </c>
      <c r="S31" s="13"/>
      <c r="T31" s="21">
        <f>+T16-T18+T29</f>
        <v>-90016</v>
      </c>
      <c r="U31" s="13"/>
      <c r="V31" s="20">
        <f>IF(T$12=0,0,T31/T$12)</f>
        <v>0</v>
      </c>
      <c r="W31" s="16"/>
      <c r="X31" s="21">
        <f>+P31-T31</f>
        <v>21311.509999999995</v>
      </c>
      <c r="Y31" s="16"/>
      <c r="Z31" s="20">
        <f>IF(T31=0,0,X31/T31)</f>
        <v>-0.23675246622822604</v>
      </c>
    </row>
    <row r="32" spans="1:26" x14ac:dyDescent="0.3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128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3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126</v>
      </c>
      <c r="C35" s="26"/>
      <c r="D35" s="30">
        <f>+D31-D33</f>
        <v>-38380.83</v>
      </c>
      <c r="E35" s="13"/>
      <c r="F35" s="35">
        <f>IF(D$12=0,0,D35/D$12)</f>
        <v>0</v>
      </c>
      <c r="G35" s="13"/>
      <c r="H35" s="30">
        <f>+H31-H33</f>
        <v>-36508</v>
      </c>
      <c r="I35" s="13"/>
      <c r="J35" s="35">
        <f>IF(H$12=0,0,H35/H$12)</f>
        <v>0</v>
      </c>
      <c r="K35" s="16"/>
      <c r="L35" s="30">
        <f>D35-H35</f>
        <v>-1872.8300000000017</v>
      </c>
      <c r="M35" s="16"/>
      <c r="N35" s="35">
        <f>IF(H35=0,0,L35/H35)</f>
        <v>5.1299167305796041E-2</v>
      </c>
      <c r="O35" s="25"/>
      <c r="P35" s="30">
        <f>+P31-P33</f>
        <v>-68704.490000000005</v>
      </c>
      <c r="Q35" s="13"/>
      <c r="R35" s="35">
        <f>IF(P$12=0,0,P35/P$12)</f>
        <v>0</v>
      </c>
      <c r="S35" s="13"/>
      <c r="T35" s="30">
        <f>+T31-T33</f>
        <v>-90016</v>
      </c>
      <c r="U35" s="13"/>
      <c r="V35" s="35">
        <f>IF(T$12=0,0,T35/T$12)</f>
        <v>0</v>
      </c>
      <c r="W35" s="16"/>
      <c r="X35" s="30">
        <f>P35-T35</f>
        <v>21311.509999999995</v>
      </c>
      <c r="Y35" s="16"/>
      <c r="Z35" s="35">
        <f>IF(T35=0,0,X35/T35)</f>
        <v>-0.23675246622822604</v>
      </c>
    </row>
    <row r="36" spans="1:26" ht="15" thickTop="1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3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" thickBot="1" x14ac:dyDescent="0.35">
      <c r="A38" s="10"/>
      <c r="B38" s="26" t="s">
        <v>294</v>
      </c>
      <c r="C38" s="26"/>
      <c r="D38" s="32">
        <f>SUM(D35:D37)</f>
        <v>-38380.83</v>
      </c>
      <c r="E38" s="13"/>
      <c r="F38" s="34">
        <f>IF(D$12=0,0,D38/D$12)</f>
        <v>0</v>
      </c>
      <c r="G38" s="13"/>
      <c r="H38" s="32">
        <f>SUM(H35:H37)</f>
        <v>-36508</v>
      </c>
      <c r="I38" s="13"/>
      <c r="J38" s="34">
        <f>IF(H$12=0,0,H38/H$12)</f>
        <v>0</v>
      </c>
      <c r="K38" s="16"/>
      <c r="L38" s="32">
        <f>+D38-H38</f>
        <v>-1872.8300000000017</v>
      </c>
      <c r="M38" s="16"/>
      <c r="N38" s="34">
        <f>IF(H38=0,0,L38/H38)</f>
        <v>5.1299167305796041E-2</v>
      </c>
      <c r="O38" s="25"/>
      <c r="P38" s="32">
        <f>SUM(P35:P37)</f>
        <v>-68704.490000000005</v>
      </c>
      <c r="Q38" s="13"/>
      <c r="R38" s="34">
        <f>IF(P$12=0,0,P38/P$12)</f>
        <v>0</v>
      </c>
      <c r="S38" s="13"/>
      <c r="T38" s="32">
        <f>SUM(T35:T37)</f>
        <v>-90016</v>
      </c>
      <c r="U38" s="13"/>
      <c r="V38" s="34">
        <f>IF(T$12=0,0,T38/T$12)</f>
        <v>0</v>
      </c>
      <c r="W38" s="16"/>
      <c r="X38" s="32">
        <f>+P38-T38</f>
        <v>21311.509999999995</v>
      </c>
      <c r="Y38" s="16"/>
      <c r="Z38" s="34">
        <f>IF(T38=0,0,X38/T38)</f>
        <v>-0.23675246622822604</v>
      </c>
    </row>
    <row r="39" spans="1:26" ht="15" thickTop="1" x14ac:dyDescent="0.3">
      <c r="A39" s="9"/>
      <c r="C39" s="9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>
        <v>44470.835499687499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58" t="s">
        <v>56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A42" s="9"/>
      <c r="B42" s="55"/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","201", " - ", "General Manager")</f>
        <v>Department 201 - General Manager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28505.440000000002</v>
      </c>
      <c r="E18" s="22"/>
      <c r="F18" s="31">
        <f t="shared" ref="F18:F28" si="0">IF(D$12=0,0,D18/D$12)</f>
        <v>0</v>
      </c>
      <c r="G18" s="22"/>
      <c r="H18" s="22">
        <f>SUM(OSRRefH22x_0)</f>
        <v>55492.382430769183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-26986.942430769181</v>
      </c>
      <c r="M18" s="4"/>
      <c r="N18" s="31">
        <f t="shared" ref="N18:N28" si="3">IF(H18=0,0,L18/H18)</f>
        <v>-0.48631796381129194</v>
      </c>
      <c r="O18" s="10"/>
      <c r="P18" s="22">
        <f>SUM(OSRRefP22x_0)</f>
        <v>64356.529999999992</v>
      </c>
      <c r="Q18" s="22"/>
      <c r="R18" s="31">
        <f t="shared" ref="R18:R28" si="4">IF(P$12=0,0,P18/P$12)</f>
        <v>0</v>
      </c>
      <c r="S18" s="22"/>
      <c r="T18" s="22">
        <f>SUM(OSRRefT22x_0)</f>
        <v>90564.860469230698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-26208.330469230707</v>
      </c>
      <c r="Y18" s="4"/>
      <c r="Z18" s="31">
        <f t="shared" ref="Z18:Z28" si="7">IF(T18=0,0,X18/T18)</f>
        <v>-0.28938741067386675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10365.27</v>
      </c>
      <c r="E19" s="1"/>
      <c r="F19" s="5">
        <f t="shared" si="0"/>
        <v>0</v>
      </c>
      <c r="G19" s="1"/>
      <c r="H19" s="1">
        <f>SUM(OSRRefH22_0x_0)</f>
        <v>8288.1208923076883</v>
      </c>
      <c r="I19" s="1"/>
      <c r="J19" s="5">
        <f t="shared" si="1"/>
        <v>0</v>
      </c>
      <c r="K19" s="1"/>
      <c r="L19" s="1">
        <f t="shared" si="2"/>
        <v>2077.1491076923121</v>
      </c>
      <c r="M19" s="1"/>
      <c r="N19" s="5">
        <f t="shared" si="3"/>
        <v>0.25061761703067592</v>
      </c>
      <c r="O19" s="14"/>
      <c r="P19" s="1">
        <f>SUM(OSRRefP22_0x_0)</f>
        <v>20588.23</v>
      </c>
      <c r="Q19" s="1"/>
      <c r="R19" s="5">
        <f t="shared" si="4"/>
        <v>0</v>
      </c>
      <c r="S19" s="1"/>
      <c r="T19" s="1">
        <f>SUM(OSRRefT22_0x_0)</f>
        <v>17733.5220076923</v>
      </c>
      <c r="U19" s="1"/>
      <c r="V19" s="5">
        <f t="shared" si="5"/>
        <v>0</v>
      </c>
      <c r="W19" s="1"/>
      <c r="X19" s="1">
        <f t="shared" si="6"/>
        <v>2854.7079923076999</v>
      </c>
      <c r="Y19" s="1"/>
      <c r="Z19" s="5">
        <f t="shared" si="7"/>
        <v>0.16097806127115688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1454.4</v>
      </c>
      <c r="E20" s="2"/>
      <c r="F20" s="7">
        <f t="shared" si="0"/>
        <v>0</v>
      </c>
      <c r="G20" s="2"/>
      <c r="H20" s="6">
        <v>1430.0513538461501</v>
      </c>
      <c r="I20" s="2"/>
      <c r="J20" s="7">
        <f t="shared" si="1"/>
        <v>0</v>
      </c>
      <c r="K20" s="2"/>
      <c r="L20" s="6">
        <f t="shared" si="2"/>
        <v>24.348646153850041</v>
      </c>
      <c r="M20" s="2"/>
      <c r="N20" s="7">
        <f t="shared" si="3"/>
        <v>1.7026413833575903E-2</v>
      </c>
      <c r="O20" s="11"/>
      <c r="P20" s="6">
        <v>2903.06</v>
      </c>
      <c r="Q20" s="2"/>
      <c r="R20" s="7">
        <f t="shared" si="4"/>
        <v>0</v>
      </c>
      <c r="S20" s="2"/>
      <c r="T20" s="6">
        <v>3217.6155461538401</v>
      </c>
      <c r="U20" s="2"/>
      <c r="V20" s="7">
        <f t="shared" si="5"/>
        <v>0</v>
      </c>
      <c r="W20" s="2"/>
      <c r="X20" s="6">
        <f t="shared" si="6"/>
        <v>-314.55554615384017</v>
      </c>
      <c r="Y20" s="2"/>
      <c r="Z20" s="7">
        <f t="shared" si="7"/>
        <v>-9.7760450756723405E-2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245.25</v>
      </c>
      <c r="E21" s="2"/>
      <c r="F21" s="7">
        <f t="shared" si="0"/>
        <v>0</v>
      </c>
      <c r="G21" s="2"/>
      <c r="H21" s="6">
        <v>57.927076923076903</v>
      </c>
      <c r="I21" s="2"/>
      <c r="J21" s="7">
        <f t="shared" si="1"/>
        <v>0</v>
      </c>
      <c r="K21" s="2"/>
      <c r="L21" s="6">
        <f t="shared" si="2"/>
        <v>187.3229230769231</v>
      </c>
      <c r="M21" s="2"/>
      <c r="N21" s="7">
        <f t="shared" si="3"/>
        <v>3.2337713730260345</v>
      </c>
      <c r="O21" s="11"/>
      <c r="P21" s="6">
        <v>489.53</v>
      </c>
      <c r="Q21" s="2"/>
      <c r="R21" s="7">
        <f t="shared" si="4"/>
        <v>0</v>
      </c>
      <c r="S21" s="2"/>
      <c r="T21" s="6">
        <v>130.335923076923</v>
      </c>
      <c r="U21" s="2"/>
      <c r="V21" s="7">
        <f t="shared" si="5"/>
        <v>0</v>
      </c>
      <c r="W21" s="2"/>
      <c r="X21" s="6">
        <f t="shared" si="6"/>
        <v>359.19407692307698</v>
      </c>
      <c r="Y21" s="2"/>
      <c r="Z21" s="7">
        <f t="shared" si="7"/>
        <v>2.755910024215535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3909.65</v>
      </c>
      <c r="E22" s="2"/>
      <c r="F22" s="7">
        <f t="shared" si="0"/>
        <v>0</v>
      </c>
      <c r="G22" s="2"/>
      <c r="H22" s="6">
        <v>3359</v>
      </c>
      <c r="I22" s="2"/>
      <c r="J22" s="7">
        <f t="shared" si="1"/>
        <v>0</v>
      </c>
      <c r="K22" s="2"/>
      <c r="L22" s="6">
        <f t="shared" si="2"/>
        <v>550.65000000000009</v>
      </c>
      <c r="M22" s="2"/>
      <c r="N22" s="7">
        <f t="shared" si="3"/>
        <v>0.16393271807085444</v>
      </c>
      <c r="O22" s="11"/>
      <c r="P22" s="6">
        <v>7819.3</v>
      </c>
      <c r="Q22" s="2"/>
      <c r="R22" s="7">
        <f t="shared" si="4"/>
        <v>0</v>
      </c>
      <c r="S22" s="2"/>
      <c r="T22" s="6">
        <v>6718</v>
      </c>
      <c r="U22" s="2"/>
      <c r="V22" s="7">
        <f t="shared" si="5"/>
        <v>0</v>
      </c>
      <c r="W22" s="2"/>
      <c r="X22" s="6">
        <f t="shared" si="6"/>
        <v>1101.3000000000002</v>
      </c>
      <c r="Y22" s="2"/>
      <c r="Z22" s="7">
        <f t="shared" si="7"/>
        <v>0.16393271807085444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49.43</v>
      </c>
      <c r="E23" s="2"/>
      <c r="F23" s="7">
        <f t="shared" si="0"/>
        <v>0</v>
      </c>
      <c r="G23" s="2"/>
      <c r="H23" s="6">
        <v>39.240923076923103</v>
      </c>
      <c r="I23" s="2"/>
      <c r="J23" s="7">
        <f t="shared" si="1"/>
        <v>0</v>
      </c>
      <c r="K23" s="2"/>
      <c r="L23" s="6">
        <f t="shared" si="2"/>
        <v>10.189076923076897</v>
      </c>
      <c r="M23" s="2"/>
      <c r="N23" s="7">
        <f t="shared" si="3"/>
        <v>0.25965436396854064</v>
      </c>
      <c r="O23" s="11"/>
      <c r="P23" s="6">
        <v>98.67</v>
      </c>
      <c r="Q23" s="2"/>
      <c r="R23" s="7">
        <f t="shared" si="4"/>
        <v>0</v>
      </c>
      <c r="S23" s="2"/>
      <c r="T23" s="6">
        <v>88.292076923076905</v>
      </c>
      <c r="U23" s="2"/>
      <c r="V23" s="7">
        <f t="shared" si="5"/>
        <v>0</v>
      </c>
      <c r="W23" s="2"/>
      <c r="X23" s="6">
        <f t="shared" si="6"/>
        <v>10.377923076923096</v>
      </c>
      <c r="Y23" s="2"/>
      <c r="Z23" s="7">
        <f t="shared" si="7"/>
        <v>0.11754081950031259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2020.98</v>
      </c>
      <c r="E24" s="2"/>
      <c r="F24" s="7">
        <f t="shared" si="0"/>
        <v>0</v>
      </c>
      <c r="G24" s="2"/>
      <c r="H24" s="6">
        <v>1607.00923076923</v>
      </c>
      <c r="I24" s="2"/>
      <c r="J24" s="7">
        <f t="shared" si="1"/>
        <v>0</v>
      </c>
      <c r="K24" s="2"/>
      <c r="L24" s="6">
        <f t="shared" si="2"/>
        <v>413.97076923076997</v>
      </c>
      <c r="M24" s="2"/>
      <c r="N24" s="7">
        <f t="shared" si="3"/>
        <v>0.25760323046347022</v>
      </c>
      <c r="O24" s="11"/>
      <c r="P24" s="6">
        <v>4041.96</v>
      </c>
      <c r="Q24" s="2"/>
      <c r="R24" s="7">
        <f t="shared" si="4"/>
        <v>0</v>
      </c>
      <c r="S24" s="2"/>
      <c r="T24" s="6">
        <v>3615.7707692307699</v>
      </c>
      <c r="U24" s="2"/>
      <c r="V24" s="7">
        <f t="shared" si="5"/>
        <v>0</v>
      </c>
      <c r="W24" s="2"/>
      <c r="X24" s="6">
        <f t="shared" si="6"/>
        <v>426.18923076923011</v>
      </c>
      <c r="Y24" s="2"/>
      <c r="Z24" s="7">
        <f t="shared" si="7"/>
        <v>0.11786953818975059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1658.98</v>
      </c>
      <c r="E26" s="2"/>
      <c r="F26" s="7">
        <f t="shared" si="0"/>
        <v>0</v>
      </c>
      <c r="G26" s="2"/>
      <c r="H26" s="6">
        <v>934.30769230769204</v>
      </c>
      <c r="I26" s="2"/>
      <c r="J26" s="7">
        <f t="shared" si="1"/>
        <v>0</v>
      </c>
      <c r="K26" s="2"/>
      <c r="L26" s="6">
        <f t="shared" si="2"/>
        <v>724.67230769230798</v>
      </c>
      <c r="M26" s="2"/>
      <c r="N26" s="7">
        <f t="shared" si="3"/>
        <v>0.77562489708546078</v>
      </c>
      <c r="O26" s="11"/>
      <c r="P26" s="6">
        <v>3317.96</v>
      </c>
      <c r="Q26" s="2"/>
      <c r="R26" s="7">
        <f t="shared" si="4"/>
        <v>0</v>
      </c>
      <c r="S26" s="2"/>
      <c r="T26" s="6">
        <v>2102.1923076923099</v>
      </c>
      <c r="U26" s="2"/>
      <c r="V26" s="7">
        <f t="shared" si="5"/>
        <v>0</v>
      </c>
      <c r="W26" s="2"/>
      <c r="X26" s="6">
        <f t="shared" si="6"/>
        <v>1215.7676923076901</v>
      </c>
      <c r="Y26" s="2"/>
      <c r="Z26" s="7">
        <f t="shared" si="7"/>
        <v>0.5783332418537408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856.8</v>
      </c>
      <c r="E27" s="2"/>
      <c r="F27" s="7">
        <f t="shared" si="0"/>
        <v>0</v>
      </c>
      <c r="G27" s="2"/>
      <c r="H27" s="6">
        <v>560.58461538461597</v>
      </c>
      <c r="I27" s="2"/>
      <c r="J27" s="7">
        <f t="shared" si="1"/>
        <v>0</v>
      </c>
      <c r="K27" s="2"/>
      <c r="L27" s="6">
        <f t="shared" si="2"/>
        <v>296.21538461538398</v>
      </c>
      <c r="M27" s="2"/>
      <c r="N27" s="7">
        <f t="shared" si="3"/>
        <v>0.52840441297546348</v>
      </c>
      <c r="O27" s="11"/>
      <c r="P27" s="6">
        <v>1713.6</v>
      </c>
      <c r="Q27" s="2"/>
      <c r="R27" s="7">
        <f t="shared" si="4"/>
        <v>0</v>
      </c>
      <c r="S27" s="2"/>
      <c r="T27" s="6">
        <v>1261.31538461538</v>
      </c>
      <c r="U27" s="2"/>
      <c r="V27" s="7">
        <f t="shared" si="5"/>
        <v>0</v>
      </c>
      <c r="W27" s="2"/>
      <c r="X27" s="6">
        <f t="shared" si="6"/>
        <v>452.28461538461988</v>
      </c>
      <c r="Y27" s="2"/>
      <c r="Z27" s="7">
        <f t="shared" si="7"/>
        <v>0.35858170042264059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169.78</v>
      </c>
      <c r="E28" s="2"/>
      <c r="F28" s="7">
        <f t="shared" si="0"/>
        <v>0</v>
      </c>
      <c r="G28" s="2"/>
      <c r="H28" s="6">
        <v>300</v>
      </c>
      <c r="I28" s="2"/>
      <c r="J28" s="7">
        <f t="shared" si="1"/>
        <v>0</v>
      </c>
      <c r="K28" s="2"/>
      <c r="L28" s="6">
        <f t="shared" si="2"/>
        <v>-130.22</v>
      </c>
      <c r="M28" s="2"/>
      <c r="N28" s="7">
        <f t="shared" si="3"/>
        <v>-0.43406666666666666</v>
      </c>
      <c r="O28" s="11"/>
      <c r="P28" s="6">
        <v>204.15</v>
      </c>
      <c r="Q28" s="2"/>
      <c r="R28" s="7">
        <f t="shared" si="4"/>
        <v>0</v>
      </c>
      <c r="S28" s="2"/>
      <c r="T28" s="6">
        <v>600</v>
      </c>
      <c r="U28" s="2"/>
      <c r="V28" s="7">
        <f t="shared" si="5"/>
        <v>0</v>
      </c>
      <c r="W28" s="2"/>
      <c r="X28" s="6">
        <f t="shared" si="6"/>
        <v>-395.85</v>
      </c>
      <c r="Y28" s="2"/>
      <c r="Z28" s="7">
        <f t="shared" si="7"/>
        <v>-0.65975000000000006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13464.2</v>
      </c>
      <c r="E29" s="1"/>
      <c r="F29" s="5">
        <f t="shared" ref="F29:F39" si="8">IF(D$12=0,0,D29/D$12)</f>
        <v>0</v>
      </c>
      <c r="G29" s="1"/>
      <c r="H29" s="1">
        <f>SUM(OSRRefH22_1x_0)</f>
        <v>17191.261538461491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-3727.0615384614903</v>
      </c>
      <c r="M29" s="1"/>
      <c r="N29" s="5">
        <f t="shared" ref="N29:N39" si="11">IF(H29=0,0,L29/H29)</f>
        <v>-0.21679976947142873</v>
      </c>
      <c r="O29" s="14"/>
      <c r="P29" s="1">
        <f>SUM(OSRRefP22_1x_0)</f>
        <v>35236.9</v>
      </c>
      <c r="Q29" s="1"/>
      <c r="R29" s="5">
        <f t="shared" ref="R29:R39" si="12">IF(P$12=0,0,P29/P$12)</f>
        <v>0</v>
      </c>
      <c r="S29" s="1"/>
      <c r="T29" s="1">
        <f>SUM(OSRRefT22_1x_0)</f>
        <v>38680.338461538398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-3443.438461538397</v>
      </c>
      <c r="Y29" s="1"/>
      <c r="Z29" s="5">
        <f t="shared" ref="Z29:Z39" si="15">IF(T29=0,0,X29/T29)</f>
        <v>-8.9022966150163418E-2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10036.66</v>
      </c>
      <c r="E30" s="2"/>
      <c r="F30" s="7">
        <f t="shared" si="8"/>
        <v>0</v>
      </c>
      <c r="G30" s="2"/>
      <c r="H30" s="6">
        <v>12526.1538461538</v>
      </c>
      <c r="I30" s="2"/>
      <c r="J30" s="7">
        <f t="shared" si="9"/>
        <v>0</v>
      </c>
      <c r="K30" s="2"/>
      <c r="L30" s="6">
        <f t="shared" si="10"/>
        <v>-2489.4938461538004</v>
      </c>
      <c r="M30" s="2"/>
      <c r="N30" s="7">
        <f t="shared" si="11"/>
        <v>-0.19874367477278018</v>
      </c>
      <c r="O30" s="11"/>
      <c r="P30" s="6">
        <v>26913</v>
      </c>
      <c r="Q30" s="2"/>
      <c r="R30" s="7">
        <f t="shared" si="12"/>
        <v>0</v>
      </c>
      <c r="S30" s="2"/>
      <c r="T30" s="6">
        <v>28183.846153846102</v>
      </c>
      <c r="U30" s="2"/>
      <c r="V30" s="7">
        <f t="shared" si="13"/>
        <v>0</v>
      </c>
      <c r="W30" s="2"/>
      <c r="X30" s="6">
        <f t="shared" si="14"/>
        <v>-1270.8461538461015</v>
      </c>
      <c r="Y30" s="2"/>
      <c r="Z30" s="7">
        <f t="shared" si="15"/>
        <v>-4.5091296159827918E-2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>
        <v>3427.54</v>
      </c>
      <c r="E31" s="2"/>
      <c r="F31" s="7">
        <f t="shared" si="8"/>
        <v>0</v>
      </c>
      <c r="G31" s="2"/>
      <c r="H31" s="6">
        <v>4665.1076923076898</v>
      </c>
      <c r="I31" s="2"/>
      <c r="J31" s="7">
        <f t="shared" si="9"/>
        <v>0</v>
      </c>
      <c r="K31" s="2"/>
      <c r="L31" s="6">
        <f t="shared" si="10"/>
        <v>-1237.5676923076899</v>
      </c>
      <c r="M31" s="2"/>
      <c r="N31" s="7">
        <f t="shared" si="11"/>
        <v>-0.26528169850147704</v>
      </c>
      <c r="O31" s="11"/>
      <c r="P31" s="6">
        <v>8323.9</v>
      </c>
      <c r="Q31" s="2"/>
      <c r="R31" s="7">
        <f t="shared" si="12"/>
        <v>0</v>
      </c>
      <c r="S31" s="2"/>
      <c r="T31" s="6">
        <v>10496.492307692301</v>
      </c>
      <c r="U31" s="2"/>
      <c r="V31" s="7">
        <f t="shared" si="13"/>
        <v>0</v>
      </c>
      <c r="W31" s="2"/>
      <c r="X31" s="6">
        <f t="shared" si="14"/>
        <v>-2172.5923076923009</v>
      </c>
      <c r="Y31" s="2"/>
      <c r="Z31" s="7">
        <f t="shared" si="15"/>
        <v>-0.2069826989822236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129.18</v>
      </c>
      <c r="E40" s="1"/>
      <c r="F40" s="5">
        <f t="shared" ref="F40:F54" si="16">IF(D$12=0,0,D40/D$12)</f>
        <v>0</v>
      </c>
      <c r="G40" s="1"/>
      <c r="H40" s="1">
        <f>SUM(OSRRefH22_2x_0)</f>
        <v>100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29.180000000000007</v>
      </c>
      <c r="M40" s="1"/>
      <c r="N40" s="5">
        <f t="shared" ref="N40:N54" si="19">IF(H40=0,0,L40/H40)</f>
        <v>0.29180000000000006</v>
      </c>
      <c r="O40" s="14"/>
      <c r="P40" s="1">
        <f>SUM(OSRRefP22_2x_0)</f>
        <v>129.18</v>
      </c>
      <c r="Q40" s="1"/>
      <c r="R40" s="5">
        <f t="shared" ref="R40:R54" si="20">IF(P$12=0,0,P40/P$12)</f>
        <v>0</v>
      </c>
      <c r="S40" s="1"/>
      <c r="T40" s="1">
        <f>SUM(OSRRefT22_2x_0)</f>
        <v>100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29.180000000000007</v>
      </c>
      <c r="Y40" s="1"/>
      <c r="Z40" s="5">
        <f t="shared" ref="Z40:Z54" si="23">IF(T40=0,0,X40/T40)</f>
        <v>0.29180000000000006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129.18</v>
      </c>
      <c r="E41" s="2"/>
      <c r="F41" s="7">
        <f t="shared" si="16"/>
        <v>0</v>
      </c>
      <c r="G41" s="2"/>
      <c r="H41" s="6">
        <v>100</v>
      </c>
      <c r="I41" s="2"/>
      <c r="J41" s="7">
        <f t="shared" si="17"/>
        <v>0</v>
      </c>
      <c r="K41" s="2"/>
      <c r="L41" s="6">
        <f t="shared" si="18"/>
        <v>29.180000000000007</v>
      </c>
      <c r="M41" s="2"/>
      <c r="N41" s="7">
        <f t="shared" si="19"/>
        <v>0.29180000000000006</v>
      </c>
      <c r="O41" s="11"/>
      <c r="P41" s="6">
        <v>129.18</v>
      </c>
      <c r="Q41" s="2"/>
      <c r="R41" s="7">
        <f t="shared" si="20"/>
        <v>0</v>
      </c>
      <c r="S41" s="2"/>
      <c r="T41" s="6">
        <v>100</v>
      </c>
      <c r="U41" s="2"/>
      <c r="V41" s="7">
        <f t="shared" si="21"/>
        <v>0</v>
      </c>
      <c r="W41" s="2"/>
      <c r="X41" s="6">
        <f t="shared" si="22"/>
        <v>29.180000000000007</v>
      </c>
      <c r="Y41" s="2"/>
      <c r="Z41" s="7">
        <f t="shared" si="23"/>
        <v>0.29180000000000006</v>
      </c>
    </row>
    <row r="42" spans="1:26" s="28" customFormat="1" outlineLevel="1" collapsed="1" x14ac:dyDescent="0.3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314.87</v>
      </c>
      <c r="E42" s="1"/>
      <c r="F42" s="5">
        <f t="shared" si="16"/>
        <v>0</v>
      </c>
      <c r="G42" s="1"/>
      <c r="H42" s="1">
        <f>SUM(OSRRefH22_3x_0)</f>
        <v>315</v>
      </c>
      <c r="I42" s="1"/>
      <c r="J42" s="5">
        <f t="shared" si="17"/>
        <v>0</v>
      </c>
      <c r="K42" s="1"/>
      <c r="L42" s="1">
        <f t="shared" si="18"/>
        <v>-0.12999999999999545</v>
      </c>
      <c r="M42" s="1"/>
      <c r="N42" s="5">
        <f t="shared" si="19"/>
        <v>-4.1269841269839827E-4</v>
      </c>
      <c r="O42" s="14"/>
      <c r="P42" s="1">
        <f>SUM(OSRRefP22_3x_0)</f>
        <v>629.74</v>
      </c>
      <c r="Q42" s="1"/>
      <c r="R42" s="5">
        <f t="shared" si="20"/>
        <v>0</v>
      </c>
      <c r="S42" s="1"/>
      <c r="T42" s="1">
        <f>SUM(OSRRefT22_3x_0)</f>
        <v>630</v>
      </c>
      <c r="U42" s="1"/>
      <c r="V42" s="5">
        <f t="shared" si="21"/>
        <v>0</v>
      </c>
      <c r="W42" s="1"/>
      <c r="X42" s="1">
        <f t="shared" si="22"/>
        <v>-0.25999999999999091</v>
      </c>
      <c r="Y42" s="1"/>
      <c r="Z42" s="5">
        <f t="shared" si="23"/>
        <v>-4.1269841269839827E-4</v>
      </c>
    </row>
    <row r="43" spans="1:26" s="24" customFormat="1" hidden="1" outlineLevel="2" x14ac:dyDescent="0.3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314.87</v>
      </c>
      <c r="E43" s="2"/>
      <c r="F43" s="7">
        <f t="shared" si="16"/>
        <v>0</v>
      </c>
      <c r="G43" s="2"/>
      <c r="H43" s="6">
        <v>315</v>
      </c>
      <c r="I43" s="2"/>
      <c r="J43" s="7">
        <f t="shared" si="17"/>
        <v>0</v>
      </c>
      <c r="K43" s="2"/>
      <c r="L43" s="6">
        <f t="shared" si="18"/>
        <v>-0.12999999999999545</v>
      </c>
      <c r="M43" s="2"/>
      <c r="N43" s="7">
        <f t="shared" si="19"/>
        <v>-4.1269841269839827E-4</v>
      </c>
      <c r="O43" s="11"/>
      <c r="P43" s="6">
        <v>629.74</v>
      </c>
      <c r="Q43" s="2"/>
      <c r="R43" s="7">
        <f t="shared" si="20"/>
        <v>0</v>
      </c>
      <c r="S43" s="2"/>
      <c r="T43" s="6">
        <v>630</v>
      </c>
      <c r="U43" s="2"/>
      <c r="V43" s="7">
        <f t="shared" si="21"/>
        <v>0</v>
      </c>
      <c r="W43" s="2"/>
      <c r="X43" s="6">
        <f t="shared" si="22"/>
        <v>-0.25999999999999091</v>
      </c>
      <c r="Y43" s="2"/>
      <c r="Z43" s="7">
        <f t="shared" si="23"/>
        <v>-4.1269841269839827E-4</v>
      </c>
    </row>
    <row r="44" spans="1:26" s="28" customFormat="1" outlineLevel="1" collapsed="1" x14ac:dyDescent="0.3">
      <c r="A44" s="29"/>
      <c r="B44" s="14" t="str">
        <f>CONCATENATE("     ","Donations                                         ")</f>
        <v xml:space="preserve">     Donations             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26500</v>
      </c>
      <c r="I44" s="1"/>
      <c r="J44" s="5">
        <f t="shared" si="17"/>
        <v>0</v>
      </c>
      <c r="K44" s="1"/>
      <c r="L44" s="1">
        <f t="shared" si="18"/>
        <v>-26500</v>
      </c>
      <c r="M44" s="1"/>
      <c r="N44" s="5">
        <f t="shared" si="19"/>
        <v>-1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27700</v>
      </c>
      <c r="U44" s="1"/>
      <c r="V44" s="5">
        <f t="shared" si="21"/>
        <v>0</v>
      </c>
      <c r="W44" s="1"/>
      <c r="X44" s="1">
        <f t="shared" si="22"/>
        <v>-27700</v>
      </c>
      <c r="Y44" s="1"/>
      <c r="Z44" s="5">
        <f t="shared" si="23"/>
        <v>-1</v>
      </c>
    </row>
    <row r="45" spans="1:26" s="24" customFormat="1" hidden="1" outlineLevel="2" x14ac:dyDescent="0.3">
      <c r="A45" s="27"/>
      <c r="B45" s="11" t="str">
        <f>CONCATENATE("          ", "6399", " - ", "DONATION-ON CAMPUS")</f>
        <v xml:space="preserve">          6399 - DONATION-ON CAMPUS</v>
      </c>
      <c r="C45" s="11"/>
      <c r="D45" s="6"/>
      <c r="E45" s="2"/>
      <c r="F45" s="7">
        <f t="shared" si="16"/>
        <v>0</v>
      </c>
      <c r="G45" s="2"/>
      <c r="H45" s="6">
        <v>26500</v>
      </c>
      <c r="I45" s="2"/>
      <c r="J45" s="7">
        <f t="shared" si="17"/>
        <v>0</v>
      </c>
      <c r="K45" s="2"/>
      <c r="L45" s="6">
        <f t="shared" si="18"/>
        <v>-26500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27700</v>
      </c>
      <c r="U45" s="2"/>
      <c r="V45" s="7">
        <f t="shared" si="21"/>
        <v>0</v>
      </c>
      <c r="W45" s="2"/>
      <c r="X45" s="6">
        <f t="shared" si="22"/>
        <v>-27700</v>
      </c>
      <c r="Y45" s="2"/>
      <c r="Z45" s="7">
        <f t="shared" si="23"/>
        <v>-1</v>
      </c>
    </row>
    <row r="46" spans="1:26" s="28" customFormat="1" outlineLevel="1" collapsed="1" x14ac:dyDescent="0.3">
      <c r="A46" s="29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SUM(OSRRefD22_5x_0)</f>
        <v>117.71</v>
      </c>
      <c r="E46" s="1"/>
      <c r="F46" s="5">
        <f t="shared" si="16"/>
        <v>0</v>
      </c>
      <c r="G46" s="1"/>
      <c r="H46" s="1">
        <f>SUM(OSRRefH22_5x_0)</f>
        <v>118</v>
      </c>
      <c r="I46" s="1"/>
      <c r="J46" s="5">
        <f t="shared" si="17"/>
        <v>0</v>
      </c>
      <c r="K46" s="1"/>
      <c r="L46" s="1">
        <f t="shared" si="18"/>
        <v>-0.29000000000000625</v>
      </c>
      <c r="M46" s="1"/>
      <c r="N46" s="5">
        <f t="shared" si="19"/>
        <v>-2.457627118644121E-3</v>
      </c>
      <c r="O46" s="14"/>
      <c r="P46" s="1">
        <f>SUM(OSRRefP22_5x_0)</f>
        <v>235.42</v>
      </c>
      <c r="Q46" s="1"/>
      <c r="R46" s="5">
        <f t="shared" si="20"/>
        <v>0</v>
      </c>
      <c r="S46" s="1"/>
      <c r="T46" s="1">
        <f>SUM(OSRRefT22_5x_0)</f>
        <v>236</v>
      </c>
      <c r="U46" s="1"/>
      <c r="V46" s="5">
        <f t="shared" si="21"/>
        <v>0</v>
      </c>
      <c r="W46" s="1"/>
      <c r="X46" s="1">
        <f t="shared" si="22"/>
        <v>-0.58000000000001251</v>
      </c>
      <c r="Y46" s="1"/>
      <c r="Z46" s="5">
        <f t="shared" si="23"/>
        <v>-2.457627118644121E-3</v>
      </c>
    </row>
    <row r="47" spans="1:26" s="24" customFormat="1" hidden="1" outlineLevel="2" x14ac:dyDescent="0.3">
      <c r="A47" s="27"/>
      <c r="B47" s="11" t="str">
        <f>CONCATENATE("          ", "6351", " - ", "EQUIPMENT RENTAL")</f>
        <v xml:space="preserve">          6351 - EQUIPMENT RENTAL</v>
      </c>
      <c r="C47" s="11"/>
      <c r="D47" s="6">
        <v>117.71</v>
      </c>
      <c r="E47" s="2"/>
      <c r="F47" s="7">
        <f t="shared" si="16"/>
        <v>0</v>
      </c>
      <c r="G47" s="2"/>
      <c r="H47" s="6">
        <v>118</v>
      </c>
      <c r="I47" s="2"/>
      <c r="J47" s="7">
        <f t="shared" si="17"/>
        <v>0</v>
      </c>
      <c r="K47" s="2"/>
      <c r="L47" s="6">
        <f t="shared" si="18"/>
        <v>-0.29000000000000625</v>
      </c>
      <c r="M47" s="2"/>
      <c r="N47" s="7">
        <f t="shared" si="19"/>
        <v>-2.457627118644121E-3</v>
      </c>
      <c r="O47" s="11"/>
      <c r="P47" s="6">
        <v>235.42</v>
      </c>
      <c r="Q47" s="2"/>
      <c r="R47" s="7">
        <f t="shared" si="20"/>
        <v>0</v>
      </c>
      <c r="S47" s="2"/>
      <c r="T47" s="6">
        <v>236</v>
      </c>
      <c r="U47" s="2"/>
      <c r="V47" s="7">
        <f t="shared" si="21"/>
        <v>0</v>
      </c>
      <c r="W47" s="2"/>
      <c r="X47" s="6">
        <f t="shared" si="22"/>
        <v>-0.58000000000001251</v>
      </c>
      <c r="Y47" s="2"/>
      <c r="Z47" s="7">
        <f t="shared" si="23"/>
        <v>-2.457627118644121E-3</v>
      </c>
    </row>
    <row r="48" spans="1:26" s="28" customFormat="1" outlineLevel="1" collapsed="1" x14ac:dyDescent="0.3">
      <c r="A48" s="29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25</v>
      </c>
      <c r="I48" s="1"/>
      <c r="J48" s="5">
        <f t="shared" si="17"/>
        <v>0</v>
      </c>
      <c r="K48" s="1"/>
      <c r="L48" s="1">
        <f t="shared" si="18"/>
        <v>-25</v>
      </c>
      <c r="M48" s="1"/>
      <c r="N48" s="5">
        <f t="shared" si="19"/>
        <v>-1</v>
      </c>
      <c r="O48" s="14"/>
      <c r="P48" s="1">
        <f>SUM(OSRRefP22_6x_0)</f>
        <v>12.88</v>
      </c>
      <c r="Q48" s="1"/>
      <c r="R48" s="5">
        <f t="shared" si="20"/>
        <v>0</v>
      </c>
      <c r="S48" s="1"/>
      <c r="T48" s="1">
        <f>SUM(OSRRefT22_6x_0)</f>
        <v>50</v>
      </c>
      <c r="U48" s="1"/>
      <c r="V48" s="5">
        <f t="shared" si="21"/>
        <v>0</v>
      </c>
      <c r="W48" s="1"/>
      <c r="X48" s="1">
        <f t="shared" si="22"/>
        <v>-37.119999999999997</v>
      </c>
      <c r="Y48" s="1"/>
      <c r="Z48" s="5">
        <f t="shared" si="23"/>
        <v>-0.74239999999999995</v>
      </c>
    </row>
    <row r="49" spans="1:26" s="24" customFormat="1" hidden="1" outlineLevel="2" x14ac:dyDescent="0.3">
      <c r="A49" s="27"/>
      <c r="B49" s="11" t="str">
        <f>CONCATENATE("          ", "6307", " - ", "POSTAGE")</f>
        <v xml:space="preserve">          6307 - POSTAGE</v>
      </c>
      <c r="C49" s="11"/>
      <c r="D49" s="6"/>
      <c r="E49" s="2"/>
      <c r="F49" s="7">
        <f t="shared" si="16"/>
        <v>0</v>
      </c>
      <c r="G49" s="2"/>
      <c r="H49" s="6">
        <v>25</v>
      </c>
      <c r="I49" s="2"/>
      <c r="J49" s="7">
        <f t="shared" si="17"/>
        <v>0</v>
      </c>
      <c r="K49" s="2"/>
      <c r="L49" s="6">
        <f t="shared" si="18"/>
        <v>-25</v>
      </c>
      <c r="M49" s="2"/>
      <c r="N49" s="7">
        <f t="shared" si="19"/>
        <v>-1</v>
      </c>
      <c r="O49" s="11"/>
      <c r="P49" s="6">
        <v>12.88</v>
      </c>
      <c r="Q49" s="2"/>
      <c r="R49" s="7">
        <f t="shared" si="20"/>
        <v>0</v>
      </c>
      <c r="S49" s="2"/>
      <c r="T49" s="6">
        <v>50</v>
      </c>
      <c r="U49" s="2"/>
      <c r="V49" s="7">
        <f t="shared" si="21"/>
        <v>0</v>
      </c>
      <c r="W49" s="2"/>
      <c r="X49" s="6">
        <f t="shared" si="22"/>
        <v>-37.119999999999997</v>
      </c>
      <c r="Y49" s="2"/>
      <c r="Z49" s="7">
        <f t="shared" si="23"/>
        <v>-0.74239999999999995</v>
      </c>
    </row>
    <row r="50" spans="1:26" s="28" customFormat="1" outlineLevel="1" collapsed="1" x14ac:dyDescent="0.3">
      <c r="A50" s="29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SUM(OSRRefD22_7x_0)</f>
        <v>156.47999999999999</v>
      </c>
      <c r="E50" s="1"/>
      <c r="F50" s="5">
        <f t="shared" si="16"/>
        <v>0</v>
      </c>
      <c r="G50" s="1"/>
      <c r="H50" s="1">
        <f>SUM(OSRRefH22_7x_0)</f>
        <v>150</v>
      </c>
      <c r="I50" s="1"/>
      <c r="J50" s="5">
        <f t="shared" si="17"/>
        <v>0</v>
      </c>
      <c r="K50" s="1"/>
      <c r="L50" s="1">
        <f t="shared" si="18"/>
        <v>6.4799999999999898</v>
      </c>
      <c r="M50" s="1"/>
      <c r="N50" s="5">
        <f t="shared" si="19"/>
        <v>4.3199999999999933E-2</v>
      </c>
      <c r="O50" s="14"/>
      <c r="P50" s="1">
        <f>SUM(OSRRefP22_7x_0)</f>
        <v>312.95999999999998</v>
      </c>
      <c r="Q50" s="1"/>
      <c r="R50" s="5">
        <f t="shared" si="20"/>
        <v>0</v>
      </c>
      <c r="S50" s="1"/>
      <c r="T50" s="1">
        <f>SUM(OSRRefT22_7x_0)</f>
        <v>300</v>
      </c>
      <c r="U50" s="1"/>
      <c r="V50" s="5">
        <f t="shared" si="21"/>
        <v>0</v>
      </c>
      <c r="W50" s="1"/>
      <c r="X50" s="1">
        <f t="shared" si="22"/>
        <v>12.95999999999998</v>
      </c>
      <c r="Y50" s="1"/>
      <c r="Z50" s="5">
        <f t="shared" si="23"/>
        <v>4.3199999999999933E-2</v>
      </c>
    </row>
    <row r="51" spans="1:26" s="24" customFormat="1" hidden="1" outlineLevel="2" x14ac:dyDescent="0.3">
      <c r="A51" s="27"/>
      <c r="B51" s="11" t="str">
        <f>CONCATENATE("          ", "6314", " - ", "LIABILITY INSURANCE")</f>
        <v xml:space="preserve">          6314 - LIABILITY INSURANCE</v>
      </c>
      <c r="C51" s="11"/>
      <c r="D51" s="6">
        <v>156.47999999999999</v>
      </c>
      <c r="E51" s="2"/>
      <c r="F51" s="7">
        <f t="shared" si="16"/>
        <v>0</v>
      </c>
      <c r="G51" s="2"/>
      <c r="H51" s="6">
        <v>150</v>
      </c>
      <c r="I51" s="2"/>
      <c r="J51" s="7">
        <f t="shared" si="17"/>
        <v>0</v>
      </c>
      <c r="K51" s="2"/>
      <c r="L51" s="6">
        <f t="shared" si="18"/>
        <v>6.4799999999999898</v>
      </c>
      <c r="M51" s="2"/>
      <c r="N51" s="7">
        <f t="shared" si="19"/>
        <v>4.3199999999999933E-2</v>
      </c>
      <c r="O51" s="11"/>
      <c r="P51" s="6">
        <v>312.95999999999998</v>
      </c>
      <c r="Q51" s="2"/>
      <c r="R51" s="7">
        <f t="shared" si="20"/>
        <v>0</v>
      </c>
      <c r="S51" s="2"/>
      <c r="T51" s="6">
        <v>300</v>
      </c>
      <c r="U51" s="2"/>
      <c r="V51" s="7">
        <f t="shared" si="21"/>
        <v>0</v>
      </c>
      <c r="W51" s="2"/>
      <c r="X51" s="6">
        <f t="shared" si="22"/>
        <v>12.95999999999998</v>
      </c>
      <c r="Y51" s="2"/>
      <c r="Z51" s="7">
        <f t="shared" si="23"/>
        <v>4.3199999999999933E-2</v>
      </c>
    </row>
    <row r="52" spans="1:26" s="28" customFormat="1" outlineLevel="1" collapsed="1" x14ac:dyDescent="0.3">
      <c r="A52" s="29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SUM(OSRRefD22_8x_0)</f>
        <v>2662.99</v>
      </c>
      <c r="E52" s="1"/>
      <c r="F52" s="5">
        <f t="shared" si="16"/>
        <v>0</v>
      </c>
      <c r="G52" s="1"/>
      <c r="H52" s="1">
        <f>SUM(OSRRefH22_8x_0)</f>
        <v>1530</v>
      </c>
      <c r="I52" s="1"/>
      <c r="J52" s="5">
        <f t="shared" si="17"/>
        <v>0</v>
      </c>
      <c r="K52" s="1"/>
      <c r="L52" s="1">
        <f t="shared" si="18"/>
        <v>1132.9899999999998</v>
      </c>
      <c r="M52" s="1"/>
      <c r="N52" s="5">
        <f t="shared" si="19"/>
        <v>0.74051633986928089</v>
      </c>
      <c r="O52" s="14"/>
      <c r="P52" s="1">
        <f>SUM(OSRRefP22_8x_0)</f>
        <v>5255.17</v>
      </c>
      <c r="Q52" s="1"/>
      <c r="R52" s="5">
        <f t="shared" si="20"/>
        <v>0</v>
      </c>
      <c r="S52" s="1"/>
      <c r="T52" s="1">
        <f>SUM(OSRRefT22_8x_0)</f>
        <v>3060</v>
      </c>
      <c r="U52" s="1"/>
      <c r="V52" s="5">
        <f t="shared" si="21"/>
        <v>0</v>
      </c>
      <c r="W52" s="1"/>
      <c r="X52" s="1">
        <f t="shared" si="22"/>
        <v>2195.17</v>
      </c>
      <c r="Y52" s="1"/>
      <c r="Z52" s="5">
        <f t="shared" si="23"/>
        <v>0.71737581699346409</v>
      </c>
    </row>
    <row r="53" spans="1:26" s="24" customFormat="1" hidden="1" outlineLevel="2" x14ac:dyDescent="0.3">
      <c r="A53" s="27"/>
      <c r="B53" s="11" t="str">
        <f>CONCATENATE("          ", "6373", " - ", "MAINTENANCE CONTRACTS")</f>
        <v xml:space="preserve">          6373 - MAINTENANCE CONTRACTS</v>
      </c>
      <c r="C53" s="11"/>
      <c r="D53" s="6">
        <v>2565</v>
      </c>
      <c r="E53" s="2"/>
      <c r="F53" s="7">
        <f t="shared" si="16"/>
        <v>0</v>
      </c>
      <c r="G53" s="2"/>
      <c r="H53" s="6">
        <v>1530</v>
      </c>
      <c r="I53" s="2"/>
      <c r="J53" s="7">
        <f t="shared" si="17"/>
        <v>0</v>
      </c>
      <c r="K53" s="2"/>
      <c r="L53" s="6">
        <f t="shared" si="18"/>
        <v>1035</v>
      </c>
      <c r="M53" s="2"/>
      <c r="N53" s="7">
        <f t="shared" si="19"/>
        <v>0.67647058823529416</v>
      </c>
      <c r="O53" s="11"/>
      <c r="P53" s="6">
        <v>5157.18</v>
      </c>
      <c r="Q53" s="2"/>
      <c r="R53" s="7">
        <f t="shared" si="20"/>
        <v>0</v>
      </c>
      <c r="S53" s="2"/>
      <c r="T53" s="6">
        <v>3060</v>
      </c>
      <c r="U53" s="2"/>
      <c r="V53" s="7">
        <f t="shared" si="21"/>
        <v>0</v>
      </c>
      <c r="W53" s="2"/>
      <c r="X53" s="6">
        <f t="shared" si="22"/>
        <v>2097.1800000000003</v>
      </c>
      <c r="Y53" s="2"/>
      <c r="Z53" s="7">
        <f t="shared" si="23"/>
        <v>0.68535294117647072</v>
      </c>
    </row>
    <row r="54" spans="1:26" s="24" customFormat="1" hidden="1" outlineLevel="2" x14ac:dyDescent="0.3">
      <c r="A54" s="27"/>
      <c r="B54" s="11" t="str">
        <f>CONCATENATE("          ", "6375", " - ", "OUTSIDE REPAIRS &amp; MAINTENANCE")</f>
        <v xml:space="preserve">          6375 - OUTSIDE REPAIRS &amp; MAINTENANCE</v>
      </c>
      <c r="C54" s="11"/>
      <c r="D54" s="6">
        <v>97.99</v>
      </c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97.99</v>
      </c>
      <c r="M54" s="2"/>
      <c r="N54" s="7">
        <f t="shared" si="19"/>
        <v>0</v>
      </c>
      <c r="O54" s="11"/>
      <c r="P54" s="6">
        <v>97.99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97.99</v>
      </c>
      <c r="Y54" s="2"/>
      <c r="Z54" s="7">
        <f t="shared" si="23"/>
        <v>0</v>
      </c>
    </row>
    <row r="55" spans="1:26" s="28" customFormat="1" outlineLevel="1" collapsed="1" x14ac:dyDescent="0.3">
      <c r="A55" s="29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1">
        <f>SUM(OSRRefD22_9x_0)</f>
        <v>1000</v>
      </c>
      <c r="E55" s="1"/>
      <c r="F55" s="5">
        <f t="shared" ref="F55:F59" si="24">IF(D$12=0,0,D55/D$12)</f>
        <v>0</v>
      </c>
      <c r="G55" s="1"/>
      <c r="H55" s="1">
        <f>SUM(OSRRefH22_9x_0)</f>
        <v>725</v>
      </c>
      <c r="I55" s="1"/>
      <c r="J55" s="5">
        <f t="shared" ref="J55:J59" si="25">IF(H$12=0,0,H55/H$12)</f>
        <v>0</v>
      </c>
      <c r="K55" s="1"/>
      <c r="L55" s="1">
        <f t="shared" ref="L55:L59" si="26">+D55-H55</f>
        <v>275</v>
      </c>
      <c r="M55" s="1"/>
      <c r="N55" s="5">
        <f t="shared" ref="N55:N59" si="27">IF(H55=0,0,L55/H55)</f>
        <v>0.37931034482758619</v>
      </c>
      <c r="O55" s="14"/>
      <c r="P55" s="1">
        <f>SUM(OSRRefP22_9x_0)</f>
        <v>1000</v>
      </c>
      <c r="Q55" s="1"/>
      <c r="R55" s="5">
        <f t="shared" ref="R55:R59" si="28">IF(P$12=0,0,P55/P$12)</f>
        <v>0</v>
      </c>
      <c r="S55" s="1"/>
      <c r="T55" s="1">
        <f>SUM(OSRRefT22_9x_0)</f>
        <v>975</v>
      </c>
      <c r="U55" s="1"/>
      <c r="V55" s="5">
        <f t="shared" ref="V55:V59" si="29">IF(T$12=0,0,T55/T$12)</f>
        <v>0</v>
      </c>
      <c r="W55" s="1"/>
      <c r="X55" s="1">
        <f t="shared" ref="X55:X59" si="30">+P55-T55</f>
        <v>25</v>
      </c>
      <c r="Y55" s="1"/>
      <c r="Z55" s="5">
        <f t="shared" ref="Z55:Z59" si="31">IF(T55=0,0,X55/T55)</f>
        <v>2.564102564102564E-2</v>
      </c>
    </row>
    <row r="56" spans="1:26" s="24" customFormat="1" hidden="1" outlineLevel="2" x14ac:dyDescent="0.3">
      <c r="A56" s="27"/>
      <c r="B56" s="11" t="str">
        <f>CONCATENATE("          ", "6258", " - ", "MEMBERSHIP DUES")</f>
        <v xml:space="preserve">          6258 - MEMBERSHIP DUES</v>
      </c>
      <c r="C56" s="11"/>
      <c r="D56" s="6">
        <v>1000</v>
      </c>
      <c r="E56" s="2"/>
      <c r="F56" s="7">
        <f t="shared" si="24"/>
        <v>0</v>
      </c>
      <c r="G56" s="2"/>
      <c r="H56" s="6">
        <v>725</v>
      </c>
      <c r="I56" s="2"/>
      <c r="J56" s="7">
        <f t="shared" si="25"/>
        <v>0</v>
      </c>
      <c r="K56" s="2"/>
      <c r="L56" s="6">
        <f t="shared" si="26"/>
        <v>275</v>
      </c>
      <c r="M56" s="2"/>
      <c r="N56" s="7">
        <f t="shared" si="27"/>
        <v>0.37931034482758619</v>
      </c>
      <c r="O56" s="11"/>
      <c r="P56" s="6">
        <v>1000</v>
      </c>
      <c r="Q56" s="2"/>
      <c r="R56" s="7">
        <f t="shared" si="28"/>
        <v>0</v>
      </c>
      <c r="S56" s="2"/>
      <c r="T56" s="6">
        <v>975</v>
      </c>
      <c r="U56" s="2"/>
      <c r="V56" s="7">
        <f t="shared" si="29"/>
        <v>0</v>
      </c>
      <c r="W56" s="2"/>
      <c r="X56" s="6">
        <f t="shared" si="30"/>
        <v>25</v>
      </c>
      <c r="Y56" s="2"/>
      <c r="Z56" s="7">
        <f t="shared" si="31"/>
        <v>2.564102564102564E-2</v>
      </c>
    </row>
    <row r="57" spans="1:26" s="28" customFormat="1" outlineLevel="1" collapsed="1" x14ac:dyDescent="0.3">
      <c r="A57" s="29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SUM(OSRRefD22_10x_0)</f>
        <v>19.84</v>
      </c>
      <c r="E57" s="1"/>
      <c r="F57" s="5">
        <f t="shared" si="24"/>
        <v>0</v>
      </c>
      <c r="G57" s="1"/>
      <c r="H57" s="1">
        <f>SUM(OSRRefH22_10x_0)</f>
        <v>125</v>
      </c>
      <c r="I57" s="1"/>
      <c r="J57" s="5">
        <f t="shared" si="25"/>
        <v>0</v>
      </c>
      <c r="K57" s="1"/>
      <c r="L57" s="1">
        <f t="shared" si="26"/>
        <v>-105.16</v>
      </c>
      <c r="M57" s="1"/>
      <c r="N57" s="5">
        <f t="shared" si="27"/>
        <v>-0.84128000000000003</v>
      </c>
      <c r="O57" s="14"/>
      <c r="P57" s="1">
        <f>SUM(OSRRefP22_10x_0)</f>
        <v>25.89</v>
      </c>
      <c r="Q57" s="1"/>
      <c r="R57" s="5">
        <f t="shared" si="28"/>
        <v>0</v>
      </c>
      <c r="S57" s="1"/>
      <c r="T57" s="1">
        <f>SUM(OSRRefT22_10x_0)</f>
        <v>250</v>
      </c>
      <c r="U57" s="1"/>
      <c r="V57" s="5">
        <f t="shared" si="29"/>
        <v>0</v>
      </c>
      <c r="W57" s="1"/>
      <c r="X57" s="1">
        <f t="shared" si="30"/>
        <v>-224.11</v>
      </c>
      <c r="Y57" s="1"/>
      <c r="Z57" s="5">
        <f t="shared" si="31"/>
        <v>-0.89644000000000001</v>
      </c>
    </row>
    <row r="58" spans="1:26" s="24" customFormat="1" hidden="1" outlineLevel="2" x14ac:dyDescent="0.3">
      <c r="A58" s="27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24"/>
        <v>0</v>
      </c>
      <c r="G58" s="2"/>
      <c r="H58" s="6">
        <v>125</v>
      </c>
      <c r="I58" s="2"/>
      <c r="J58" s="7">
        <f t="shared" si="25"/>
        <v>0</v>
      </c>
      <c r="K58" s="2"/>
      <c r="L58" s="6">
        <f t="shared" si="26"/>
        <v>-125</v>
      </c>
      <c r="M58" s="2"/>
      <c r="N58" s="7">
        <f t="shared" si="27"/>
        <v>-1</v>
      </c>
      <c r="O58" s="11"/>
      <c r="P58" s="6"/>
      <c r="Q58" s="2"/>
      <c r="R58" s="7">
        <f t="shared" si="28"/>
        <v>0</v>
      </c>
      <c r="S58" s="2"/>
      <c r="T58" s="6">
        <v>250</v>
      </c>
      <c r="U58" s="2"/>
      <c r="V58" s="7">
        <f t="shared" si="29"/>
        <v>0</v>
      </c>
      <c r="W58" s="2"/>
      <c r="X58" s="6">
        <f t="shared" si="30"/>
        <v>-250</v>
      </c>
      <c r="Y58" s="2"/>
      <c r="Z58" s="7">
        <f t="shared" si="31"/>
        <v>-1</v>
      </c>
    </row>
    <row r="59" spans="1:26" s="24" customFormat="1" hidden="1" outlineLevel="2" x14ac:dyDescent="0.3">
      <c r="A59" s="27"/>
      <c r="B59" s="11" t="str">
        <f>CONCATENATE("          ", "6241", " - ", "OFFICE EXPENSE")</f>
        <v xml:space="preserve">          6241 - OFFICE EXPENSE</v>
      </c>
      <c r="C59" s="11"/>
      <c r="D59" s="6">
        <v>19.84</v>
      </c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19.84</v>
      </c>
      <c r="M59" s="2"/>
      <c r="N59" s="7">
        <f t="shared" si="27"/>
        <v>0</v>
      </c>
      <c r="O59" s="11"/>
      <c r="P59" s="6">
        <v>25.89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25.89</v>
      </c>
      <c r="Y59" s="2"/>
      <c r="Z59" s="7">
        <f t="shared" si="31"/>
        <v>0</v>
      </c>
    </row>
    <row r="60" spans="1:26" s="28" customFormat="1" outlineLevel="1" collapsed="1" x14ac:dyDescent="0.3">
      <c r="A60" s="29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SUM(OSRRefD22_11x_0)</f>
        <v>274.89999999999998</v>
      </c>
      <c r="E60" s="1"/>
      <c r="F60" s="5">
        <f t="shared" ref="F60:F61" si="32">IF(D$12=0,0,D60/D$12)</f>
        <v>0</v>
      </c>
      <c r="G60" s="1"/>
      <c r="H60" s="1">
        <f>SUM(OSRRefH22_11x_0)</f>
        <v>425</v>
      </c>
      <c r="I60" s="1"/>
      <c r="J60" s="5">
        <f t="shared" ref="J60:J61" si="33">IF(H$12=0,0,H60/H$12)</f>
        <v>0</v>
      </c>
      <c r="K60" s="1"/>
      <c r="L60" s="1">
        <f t="shared" ref="L60:L61" si="34">+D60-H60</f>
        <v>-150.10000000000002</v>
      </c>
      <c r="M60" s="1"/>
      <c r="N60" s="5">
        <f t="shared" ref="N60:N61" si="35">IF(H60=0,0,L60/H60)</f>
        <v>-0.35317647058823537</v>
      </c>
      <c r="O60" s="14"/>
      <c r="P60" s="1">
        <f>SUM(OSRRefP22_11x_0)</f>
        <v>930.16</v>
      </c>
      <c r="Q60" s="1"/>
      <c r="R60" s="5">
        <f t="shared" ref="R60:R61" si="36">IF(P$12=0,0,P60/P$12)</f>
        <v>0</v>
      </c>
      <c r="S60" s="1"/>
      <c r="T60" s="1">
        <f>SUM(OSRRefT22_11x_0)</f>
        <v>850</v>
      </c>
      <c r="U60" s="1"/>
      <c r="V60" s="5">
        <f t="shared" ref="V60:V61" si="37">IF(T$12=0,0,T60/T$12)</f>
        <v>0</v>
      </c>
      <c r="W60" s="1"/>
      <c r="X60" s="1">
        <f t="shared" ref="X60:X61" si="38">+P60-T60</f>
        <v>80.159999999999968</v>
      </c>
      <c r="Y60" s="1"/>
      <c r="Z60" s="5">
        <f t="shared" ref="Z60:Z61" si="39">IF(T60=0,0,X60/T60)</f>
        <v>9.4305882352941142E-2</v>
      </c>
    </row>
    <row r="61" spans="1:26" s="24" customFormat="1" hidden="1" outlineLevel="2" x14ac:dyDescent="0.3">
      <c r="A61" s="27"/>
      <c r="B61" s="11" t="str">
        <f>CONCATENATE("          ", "6309", " - ", "TELEPHONE")</f>
        <v xml:space="preserve">          6309 - TELEPHONE</v>
      </c>
      <c r="C61" s="11"/>
      <c r="D61" s="6">
        <v>274.89999999999998</v>
      </c>
      <c r="E61" s="2"/>
      <c r="F61" s="7">
        <f t="shared" si="32"/>
        <v>0</v>
      </c>
      <c r="G61" s="2"/>
      <c r="H61" s="6">
        <v>425</v>
      </c>
      <c r="I61" s="2"/>
      <c r="J61" s="7">
        <f t="shared" si="33"/>
        <v>0</v>
      </c>
      <c r="K61" s="2"/>
      <c r="L61" s="6">
        <f t="shared" si="34"/>
        <v>-150.10000000000002</v>
      </c>
      <c r="M61" s="2"/>
      <c r="N61" s="7">
        <f t="shared" si="35"/>
        <v>-0.35317647058823537</v>
      </c>
      <c r="O61" s="11"/>
      <c r="P61" s="6">
        <v>930.16</v>
      </c>
      <c r="Q61" s="2"/>
      <c r="R61" s="7">
        <f t="shared" si="36"/>
        <v>0</v>
      </c>
      <c r="S61" s="2"/>
      <c r="T61" s="6">
        <v>850</v>
      </c>
      <c r="U61" s="2"/>
      <c r="V61" s="7">
        <f t="shared" si="37"/>
        <v>0</v>
      </c>
      <c r="W61" s="2"/>
      <c r="X61" s="6">
        <f t="shared" si="38"/>
        <v>80.159999999999968</v>
      </c>
      <c r="Y61" s="2"/>
      <c r="Z61" s="7">
        <f t="shared" si="39"/>
        <v>9.4305882352941142E-2</v>
      </c>
    </row>
    <row r="62" spans="1:26" s="53" customFormat="1" x14ac:dyDescent="0.3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3">
      <c r="A63" s="10"/>
      <c r="B63" s="25" t="s">
        <v>293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3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3">
      <c r="A65" s="10"/>
      <c r="B65" s="26" t="s">
        <v>277</v>
      </c>
      <c r="C65" s="26"/>
      <c r="D65" s="21">
        <f>+D16-D18+D63</f>
        <v>-28505.440000000002</v>
      </c>
      <c r="E65" s="13"/>
      <c r="F65" s="20">
        <f>IF(D$12=0,0,D65/D$12)</f>
        <v>0</v>
      </c>
      <c r="G65" s="13"/>
      <c r="H65" s="21">
        <f>+H16-H18+H63</f>
        <v>-55492.382430769183</v>
      </c>
      <c r="I65" s="13"/>
      <c r="J65" s="20">
        <f>IF(H$12=0,0,H65/H$12)</f>
        <v>0</v>
      </c>
      <c r="K65" s="16"/>
      <c r="L65" s="21">
        <f>+D65-H65</f>
        <v>26986.942430769181</v>
      </c>
      <c r="M65" s="16"/>
      <c r="N65" s="20">
        <f>IF(H65=0,0,L65/H65)</f>
        <v>-0.48631796381129194</v>
      </c>
      <c r="O65" s="25"/>
      <c r="P65" s="21">
        <f>+P16-P18+P63</f>
        <v>-64356.529999999992</v>
      </c>
      <c r="Q65" s="13"/>
      <c r="R65" s="20">
        <f>IF(P$12=0,0,P65/P$12)</f>
        <v>0</v>
      </c>
      <c r="S65" s="13"/>
      <c r="T65" s="21">
        <f>+T16-T18+T63</f>
        <v>-90564.860469230698</v>
      </c>
      <c r="U65" s="13"/>
      <c r="V65" s="20">
        <f>IF(T$12=0,0,T65/T$12)</f>
        <v>0</v>
      </c>
      <c r="W65" s="16"/>
      <c r="X65" s="21">
        <f>+P65-T65</f>
        <v>26208.330469230707</v>
      </c>
      <c r="Y65" s="16"/>
      <c r="Z65" s="20">
        <f>IF(T65=0,0,X65/T65)</f>
        <v>-0.28938741067386675</v>
      </c>
    </row>
    <row r="66" spans="1:26" x14ac:dyDescent="0.3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3">
      <c r="A67" s="52"/>
      <c r="B67" s="10" t="s">
        <v>128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3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" thickBot="1" x14ac:dyDescent="0.35">
      <c r="A69" s="10"/>
      <c r="B69" s="26" t="s">
        <v>126</v>
      </c>
      <c r="C69" s="26"/>
      <c r="D69" s="30">
        <f>+D65-D67</f>
        <v>-28505.440000000002</v>
      </c>
      <c r="E69" s="13"/>
      <c r="F69" s="35">
        <f>IF(D$12=0,0,D69/D$12)</f>
        <v>0</v>
      </c>
      <c r="G69" s="13"/>
      <c r="H69" s="30">
        <f>+H65-H67</f>
        <v>-55492.382430769183</v>
      </c>
      <c r="I69" s="13"/>
      <c r="J69" s="35">
        <f>IF(H$12=0,0,H69/H$12)</f>
        <v>0</v>
      </c>
      <c r="K69" s="16"/>
      <c r="L69" s="30">
        <f>D69-H69</f>
        <v>26986.942430769181</v>
      </c>
      <c r="M69" s="16"/>
      <c r="N69" s="35">
        <f>IF(H69=0,0,L69/H69)</f>
        <v>-0.48631796381129194</v>
      </c>
      <c r="O69" s="25"/>
      <c r="P69" s="30">
        <f>+P65-P67</f>
        <v>-64356.529999999992</v>
      </c>
      <c r="Q69" s="13"/>
      <c r="R69" s="35">
        <f>IF(P$12=0,0,P69/P$12)</f>
        <v>0</v>
      </c>
      <c r="S69" s="13"/>
      <c r="T69" s="30">
        <f>+T65-T67</f>
        <v>-90564.860469230698</v>
      </c>
      <c r="U69" s="13"/>
      <c r="V69" s="35">
        <f>IF(T$12=0,0,T69/T$12)</f>
        <v>0</v>
      </c>
      <c r="W69" s="16"/>
      <c r="X69" s="30">
        <f>P69-T69</f>
        <v>26208.330469230707</v>
      </c>
      <c r="Y69" s="16"/>
      <c r="Z69" s="35">
        <f>IF(T69=0,0,X69/T69)</f>
        <v>-0.28938741067386675</v>
      </c>
    </row>
    <row r="70" spans="1:26" ht="15" thickTop="1" x14ac:dyDescent="0.3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3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" thickBot="1" x14ac:dyDescent="0.35">
      <c r="A72" s="10"/>
      <c r="B72" s="26" t="s">
        <v>294</v>
      </c>
      <c r="C72" s="26"/>
      <c r="D72" s="32">
        <f>SUM(D69:D71)</f>
        <v>-28505.440000000002</v>
      </c>
      <c r="E72" s="13"/>
      <c r="F72" s="34">
        <f>IF(D$12=0,0,D72/D$12)</f>
        <v>0</v>
      </c>
      <c r="G72" s="13"/>
      <c r="H72" s="32">
        <f>SUM(H69:H71)</f>
        <v>-55492.382430769183</v>
      </c>
      <c r="I72" s="13"/>
      <c r="J72" s="34">
        <f>IF(H$12=0,0,H72/H$12)</f>
        <v>0</v>
      </c>
      <c r="K72" s="16"/>
      <c r="L72" s="32">
        <f>+D72-H72</f>
        <v>26986.942430769181</v>
      </c>
      <c r="M72" s="16"/>
      <c r="N72" s="34">
        <f>IF(H72=0,0,L72/H72)</f>
        <v>-0.48631796381129194</v>
      </c>
      <c r="O72" s="25"/>
      <c r="P72" s="32">
        <f>SUM(P69:P71)</f>
        <v>-64356.529999999992</v>
      </c>
      <c r="Q72" s="13"/>
      <c r="R72" s="34">
        <f>IF(P$12=0,0,P72/P$12)</f>
        <v>0</v>
      </c>
      <c r="S72" s="13"/>
      <c r="T72" s="32">
        <f>SUM(T69:T71)</f>
        <v>-90564.860469230698</v>
      </c>
      <c r="U72" s="13"/>
      <c r="V72" s="34">
        <f>IF(T$12=0,0,T72/T$12)</f>
        <v>0</v>
      </c>
      <c r="W72" s="16"/>
      <c r="X72" s="32">
        <f>+P72-T72</f>
        <v>26208.330469230707</v>
      </c>
      <c r="Y72" s="16"/>
      <c r="Z72" s="34">
        <f>IF(T72=0,0,X72/T72)</f>
        <v>-0.28938741067386675</v>
      </c>
    </row>
    <row r="73" spans="1:26" ht="15" thickTop="1" x14ac:dyDescent="0.3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3">
      <c r="A74" s="9"/>
      <c r="B74" s="61">
        <v>44470.835499687499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3">
      <c r="A75" s="9"/>
      <c r="B75" s="58" t="s">
        <v>56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3">
      <c r="A76" s="9"/>
      <c r="B76" s="55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3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","202", " - ", "Accounting")</f>
        <v>Department 202 - Accounting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40690.089999999997</v>
      </c>
      <c r="E18" s="22"/>
      <c r="F18" s="31">
        <f t="shared" ref="F18:F28" si="0">IF(D$12=0,0,D18/D$12)</f>
        <v>0</v>
      </c>
      <c r="G18" s="22"/>
      <c r="H18" s="22">
        <f>SUM(OSRRefH22x_0)</f>
        <v>35627.261144307668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5062.8288556923289</v>
      </c>
      <c r="M18" s="4"/>
      <c r="N18" s="31">
        <f t="shared" ref="N18:N28" si="3">IF(H18=0,0,L18/H18)</f>
        <v>0.14210547465844819</v>
      </c>
      <c r="O18" s="10"/>
      <c r="P18" s="22">
        <f>SUM(OSRRefP22x_0)</f>
        <v>82291.450000000012</v>
      </c>
      <c r="Q18" s="22"/>
      <c r="R18" s="31">
        <f t="shared" ref="R18:R28" si="4">IF(P$12=0,0,P18/P$12)</f>
        <v>0</v>
      </c>
      <c r="S18" s="22"/>
      <c r="T18" s="22">
        <f>SUM(OSRRefT22x_0)</f>
        <v>77639.33757469221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4652.1124253078015</v>
      </c>
      <c r="Y18" s="4"/>
      <c r="Z18" s="31">
        <f t="shared" ref="Z18:Z28" si="7">IF(T18=0,0,X18/T18)</f>
        <v>5.9919527531160081E-2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13032.87</v>
      </c>
      <c r="E19" s="1"/>
      <c r="F19" s="5">
        <f t="shared" si="0"/>
        <v>0</v>
      </c>
      <c r="G19" s="1"/>
      <c r="H19" s="1">
        <f>SUM(OSRRefH22_0x_0)</f>
        <v>12678.48575969231</v>
      </c>
      <c r="I19" s="1"/>
      <c r="J19" s="5">
        <f t="shared" si="1"/>
        <v>0</v>
      </c>
      <c r="K19" s="1"/>
      <c r="L19" s="1">
        <f t="shared" si="2"/>
        <v>354.38424030769056</v>
      </c>
      <c r="M19" s="1"/>
      <c r="N19" s="5">
        <f t="shared" si="3"/>
        <v>2.7951621906959573E-2</v>
      </c>
      <c r="O19" s="14"/>
      <c r="P19" s="1">
        <f>SUM(OSRRefP22_0x_0)</f>
        <v>25678.2</v>
      </c>
      <c r="Q19" s="1"/>
      <c r="R19" s="5">
        <f t="shared" si="4"/>
        <v>0</v>
      </c>
      <c r="S19" s="1"/>
      <c r="T19" s="1">
        <f>SUM(OSRRefT22_0x_0)</f>
        <v>26820.842959307709</v>
      </c>
      <c r="U19" s="1"/>
      <c r="V19" s="5">
        <f t="shared" si="5"/>
        <v>0</v>
      </c>
      <c r="W19" s="1"/>
      <c r="X19" s="1">
        <f t="shared" si="6"/>
        <v>-1142.6429593077082</v>
      </c>
      <c r="Y19" s="1"/>
      <c r="Z19" s="5">
        <f t="shared" si="7"/>
        <v>-4.2602798168622578E-2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1630.15</v>
      </c>
      <c r="E20" s="2"/>
      <c r="F20" s="7">
        <f t="shared" si="0"/>
        <v>0</v>
      </c>
      <c r="G20" s="2"/>
      <c r="H20" s="6">
        <v>1673.77703353846</v>
      </c>
      <c r="I20" s="2"/>
      <c r="J20" s="7">
        <f t="shared" si="1"/>
        <v>0</v>
      </c>
      <c r="K20" s="2"/>
      <c r="L20" s="6">
        <f t="shared" si="2"/>
        <v>-43.627033538459955</v>
      </c>
      <c r="M20" s="2"/>
      <c r="N20" s="7">
        <f t="shared" si="3"/>
        <v>-2.6065021005951983E-2</v>
      </c>
      <c r="O20" s="11"/>
      <c r="P20" s="6">
        <v>3254.52</v>
      </c>
      <c r="Q20" s="2"/>
      <c r="R20" s="7">
        <f t="shared" si="4"/>
        <v>0</v>
      </c>
      <c r="S20" s="2"/>
      <c r="T20" s="6">
        <v>3765.9983254615399</v>
      </c>
      <c r="U20" s="2"/>
      <c r="V20" s="7">
        <f t="shared" si="5"/>
        <v>0</v>
      </c>
      <c r="W20" s="2"/>
      <c r="X20" s="6">
        <f t="shared" si="6"/>
        <v>-511.47832546153995</v>
      </c>
      <c r="Y20" s="2"/>
      <c r="Z20" s="7">
        <f t="shared" si="7"/>
        <v>-0.13581480427207995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274.88</v>
      </c>
      <c r="E21" s="2"/>
      <c r="F21" s="7">
        <f t="shared" si="0"/>
        <v>0</v>
      </c>
      <c r="G21" s="2"/>
      <c r="H21" s="6">
        <v>67.799670769230801</v>
      </c>
      <c r="I21" s="2"/>
      <c r="J21" s="7">
        <f t="shared" si="1"/>
        <v>0</v>
      </c>
      <c r="K21" s="2"/>
      <c r="L21" s="6">
        <f t="shared" si="2"/>
        <v>207.08032923076919</v>
      </c>
      <c r="M21" s="2"/>
      <c r="N21" s="7">
        <f t="shared" si="3"/>
        <v>3.0542969734411671</v>
      </c>
      <c r="O21" s="11"/>
      <c r="P21" s="6">
        <v>548.79999999999995</v>
      </c>
      <c r="Q21" s="2"/>
      <c r="R21" s="7">
        <f t="shared" si="4"/>
        <v>0</v>
      </c>
      <c r="S21" s="2"/>
      <c r="T21" s="6">
        <v>152.549259230769</v>
      </c>
      <c r="U21" s="2"/>
      <c r="V21" s="7">
        <f t="shared" si="5"/>
        <v>0</v>
      </c>
      <c r="W21" s="2"/>
      <c r="X21" s="6">
        <f t="shared" si="6"/>
        <v>396.25074076923096</v>
      </c>
      <c r="Y21" s="2"/>
      <c r="Z21" s="7">
        <f t="shared" si="7"/>
        <v>2.5975264827068245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6221.66</v>
      </c>
      <c r="E22" s="2"/>
      <c r="F22" s="7">
        <f t="shared" si="0"/>
        <v>0</v>
      </c>
      <c r="G22" s="2"/>
      <c r="H22" s="6">
        <v>6123</v>
      </c>
      <c r="I22" s="2"/>
      <c r="J22" s="7">
        <f t="shared" si="1"/>
        <v>0</v>
      </c>
      <c r="K22" s="2"/>
      <c r="L22" s="6">
        <f t="shared" si="2"/>
        <v>98.659999999999854</v>
      </c>
      <c r="M22" s="2"/>
      <c r="N22" s="7">
        <f t="shared" si="3"/>
        <v>1.6113016495182077E-2</v>
      </c>
      <c r="O22" s="11"/>
      <c r="P22" s="6">
        <v>12443.32</v>
      </c>
      <c r="Q22" s="2"/>
      <c r="R22" s="7">
        <f t="shared" si="4"/>
        <v>0</v>
      </c>
      <c r="S22" s="2"/>
      <c r="T22" s="6">
        <v>12246</v>
      </c>
      <c r="U22" s="2"/>
      <c r="V22" s="7">
        <f t="shared" si="5"/>
        <v>0</v>
      </c>
      <c r="W22" s="2"/>
      <c r="X22" s="6">
        <f t="shared" si="6"/>
        <v>197.31999999999971</v>
      </c>
      <c r="Y22" s="2"/>
      <c r="Z22" s="7">
        <f t="shared" si="7"/>
        <v>1.6113016495182077E-2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55.4</v>
      </c>
      <c r="E23" s="2"/>
      <c r="F23" s="7">
        <f t="shared" si="0"/>
        <v>0</v>
      </c>
      <c r="G23" s="2"/>
      <c r="H23" s="6">
        <v>45.928809230769197</v>
      </c>
      <c r="I23" s="2"/>
      <c r="J23" s="7">
        <f t="shared" si="1"/>
        <v>0</v>
      </c>
      <c r="K23" s="2"/>
      <c r="L23" s="6">
        <f t="shared" si="2"/>
        <v>9.4711907692308017</v>
      </c>
      <c r="M23" s="2"/>
      <c r="N23" s="7">
        <f t="shared" si="3"/>
        <v>0.20621459445296797</v>
      </c>
      <c r="O23" s="11"/>
      <c r="P23" s="6">
        <v>110.61</v>
      </c>
      <c r="Q23" s="2"/>
      <c r="R23" s="7">
        <f t="shared" si="4"/>
        <v>0</v>
      </c>
      <c r="S23" s="2"/>
      <c r="T23" s="6">
        <v>103.339820769231</v>
      </c>
      <c r="U23" s="2"/>
      <c r="V23" s="7">
        <f t="shared" si="5"/>
        <v>0</v>
      </c>
      <c r="W23" s="2"/>
      <c r="X23" s="6">
        <f t="shared" si="6"/>
        <v>7.2701792307690027</v>
      </c>
      <c r="Y23" s="2"/>
      <c r="Z23" s="7">
        <f t="shared" si="7"/>
        <v>7.0352156377395891E-2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1947.91</v>
      </c>
      <c r="E24" s="2"/>
      <c r="F24" s="7">
        <f t="shared" si="0"/>
        <v>0</v>
      </c>
      <c r="G24" s="2"/>
      <c r="H24" s="6">
        <v>1880.89409230769</v>
      </c>
      <c r="I24" s="2"/>
      <c r="J24" s="7">
        <f t="shared" si="1"/>
        <v>0</v>
      </c>
      <c r="K24" s="2"/>
      <c r="L24" s="6">
        <f t="shared" si="2"/>
        <v>67.015907692310066</v>
      </c>
      <c r="M24" s="2"/>
      <c r="N24" s="7">
        <f t="shared" si="3"/>
        <v>3.5629814547446154E-2</v>
      </c>
      <c r="O24" s="11"/>
      <c r="P24" s="6">
        <v>3895.82</v>
      </c>
      <c r="Q24" s="2"/>
      <c r="R24" s="7">
        <f t="shared" si="4"/>
        <v>0</v>
      </c>
      <c r="S24" s="2"/>
      <c r="T24" s="6">
        <v>4232.0117076923098</v>
      </c>
      <c r="U24" s="2"/>
      <c r="V24" s="7">
        <f t="shared" si="5"/>
        <v>0</v>
      </c>
      <c r="W24" s="2"/>
      <c r="X24" s="6">
        <f t="shared" si="6"/>
        <v>-336.19170769230959</v>
      </c>
      <c r="Y24" s="2"/>
      <c r="Z24" s="7">
        <f t="shared" si="7"/>
        <v>-7.9440164846716094E-2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1413.92</v>
      </c>
      <c r="E26" s="2"/>
      <c r="F26" s="7">
        <f t="shared" si="0"/>
        <v>0</v>
      </c>
      <c r="G26" s="2"/>
      <c r="H26" s="6">
        <v>1093.54307692308</v>
      </c>
      <c r="I26" s="2"/>
      <c r="J26" s="7">
        <f t="shared" si="1"/>
        <v>0</v>
      </c>
      <c r="K26" s="2"/>
      <c r="L26" s="6">
        <f t="shared" si="2"/>
        <v>320.37692307692009</v>
      </c>
      <c r="M26" s="2"/>
      <c r="N26" s="7">
        <f t="shared" si="3"/>
        <v>0.29297147029486015</v>
      </c>
      <c r="O26" s="11"/>
      <c r="P26" s="6">
        <v>2595.73</v>
      </c>
      <c r="Q26" s="2"/>
      <c r="R26" s="7">
        <f t="shared" si="4"/>
        <v>0</v>
      </c>
      <c r="S26" s="2"/>
      <c r="T26" s="6">
        <v>2460.4719230769301</v>
      </c>
      <c r="U26" s="2"/>
      <c r="V26" s="7">
        <f t="shared" si="5"/>
        <v>0</v>
      </c>
      <c r="W26" s="2"/>
      <c r="X26" s="6">
        <f t="shared" si="6"/>
        <v>135.25807692306989</v>
      </c>
      <c r="Y26" s="2"/>
      <c r="Z26" s="7">
        <f t="shared" si="7"/>
        <v>5.4972412265498899E-2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979.42</v>
      </c>
      <c r="E27" s="2"/>
      <c r="F27" s="7">
        <f t="shared" si="0"/>
        <v>0</v>
      </c>
      <c r="G27" s="2"/>
      <c r="H27" s="6">
        <v>1093.54307692308</v>
      </c>
      <c r="I27" s="2"/>
      <c r="J27" s="7">
        <f t="shared" si="1"/>
        <v>0</v>
      </c>
      <c r="K27" s="2"/>
      <c r="L27" s="6">
        <f t="shared" si="2"/>
        <v>-114.12307692308002</v>
      </c>
      <c r="M27" s="2"/>
      <c r="N27" s="7">
        <f t="shared" si="3"/>
        <v>-0.10436084259633373</v>
      </c>
      <c r="O27" s="11"/>
      <c r="P27" s="6">
        <v>1958.84</v>
      </c>
      <c r="Q27" s="2"/>
      <c r="R27" s="7">
        <f t="shared" si="4"/>
        <v>0</v>
      </c>
      <c r="S27" s="2"/>
      <c r="T27" s="6">
        <v>2460.4719230769301</v>
      </c>
      <c r="U27" s="2"/>
      <c r="V27" s="7">
        <f t="shared" si="5"/>
        <v>0</v>
      </c>
      <c r="W27" s="2"/>
      <c r="X27" s="6">
        <f t="shared" si="6"/>
        <v>-501.63192307693021</v>
      </c>
      <c r="Y27" s="2"/>
      <c r="Z27" s="7">
        <f t="shared" si="7"/>
        <v>-0.20387630453007449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509.53</v>
      </c>
      <c r="E28" s="2"/>
      <c r="F28" s="7">
        <f t="shared" si="0"/>
        <v>0</v>
      </c>
      <c r="G28" s="2"/>
      <c r="H28" s="6">
        <v>700</v>
      </c>
      <c r="I28" s="2"/>
      <c r="J28" s="7">
        <f t="shared" si="1"/>
        <v>0</v>
      </c>
      <c r="K28" s="2"/>
      <c r="L28" s="6">
        <f t="shared" si="2"/>
        <v>-190.47000000000003</v>
      </c>
      <c r="M28" s="2"/>
      <c r="N28" s="7">
        <f t="shared" si="3"/>
        <v>-0.27210000000000006</v>
      </c>
      <c r="O28" s="11"/>
      <c r="P28" s="6">
        <v>870.56</v>
      </c>
      <c r="Q28" s="2"/>
      <c r="R28" s="7">
        <f t="shared" si="4"/>
        <v>0</v>
      </c>
      <c r="S28" s="2"/>
      <c r="T28" s="6">
        <v>1400</v>
      </c>
      <c r="U28" s="2"/>
      <c r="V28" s="7">
        <f t="shared" si="5"/>
        <v>0</v>
      </c>
      <c r="W28" s="2"/>
      <c r="X28" s="6">
        <f t="shared" si="6"/>
        <v>-529.44000000000005</v>
      </c>
      <c r="Y28" s="2"/>
      <c r="Z28" s="7">
        <f t="shared" si="7"/>
        <v>-0.3781714285714286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20678.22</v>
      </c>
      <c r="E29" s="1"/>
      <c r="F29" s="5">
        <f t="shared" ref="F29:F39" si="8">IF(D$12=0,0,D29/D$12)</f>
        <v>0</v>
      </c>
      <c r="G29" s="1"/>
      <c r="H29" s="1">
        <f>SUM(OSRRefH22_1x_0)</f>
        <v>19683.775384615361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994.4446153846402</v>
      </c>
      <c r="M29" s="1"/>
      <c r="N29" s="5">
        <f t="shared" ref="N29:N39" si="11">IF(H29=0,0,L29/H29)</f>
        <v>5.0521030440221749E-2</v>
      </c>
      <c r="O29" s="14"/>
      <c r="P29" s="1">
        <f>SUM(OSRRefP22_1x_0)</f>
        <v>46918.98</v>
      </c>
      <c r="Q29" s="1"/>
      <c r="R29" s="5">
        <f t="shared" ref="R29:R39" si="12">IF(P$12=0,0,P29/P$12)</f>
        <v>0</v>
      </c>
      <c r="S29" s="1"/>
      <c r="T29" s="1">
        <f>SUM(OSRRefT22_1x_0)</f>
        <v>44288.494615384501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2630.485384615502</v>
      </c>
      <c r="Y29" s="1"/>
      <c r="Z29" s="5">
        <f t="shared" ref="Z29:Z39" si="15">IF(T29=0,0,X29/T29)</f>
        <v>5.9394328198767672E-2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5581.9661538461596</v>
      </c>
      <c r="I30" s="2"/>
      <c r="J30" s="7">
        <f t="shared" si="9"/>
        <v>0</v>
      </c>
      <c r="K30" s="2"/>
      <c r="L30" s="6">
        <f t="shared" si="10"/>
        <v>-5581.9661538461596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12559.423846153801</v>
      </c>
      <c r="U30" s="2"/>
      <c r="V30" s="7">
        <f t="shared" si="13"/>
        <v>0</v>
      </c>
      <c r="W30" s="2"/>
      <c r="X30" s="6">
        <f t="shared" si="14"/>
        <v>-12559.423846153801</v>
      </c>
      <c r="Y30" s="2"/>
      <c r="Z30" s="7">
        <f t="shared" si="15"/>
        <v>-1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>
        <v>20473.22</v>
      </c>
      <c r="E31" s="2"/>
      <c r="F31" s="7">
        <f t="shared" si="8"/>
        <v>0</v>
      </c>
      <c r="G31" s="2"/>
      <c r="H31" s="6">
        <v>14101.8092307692</v>
      </c>
      <c r="I31" s="2"/>
      <c r="J31" s="7">
        <f t="shared" si="9"/>
        <v>0</v>
      </c>
      <c r="K31" s="2"/>
      <c r="L31" s="6">
        <f t="shared" si="10"/>
        <v>6371.4107692308007</v>
      </c>
      <c r="M31" s="2"/>
      <c r="N31" s="7">
        <f t="shared" si="11"/>
        <v>0.45181512988622841</v>
      </c>
      <c r="O31" s="11"/>
      <c r="P31" s="6">
        <v>46713.98</v>
      </c>
      <c r="Q31" s="2"/>
      <c r="R31" s="7">
        <f t="shared" si="12"/>
        <v>0</v>
      </c>
      <c r="S31" s="2"/>
      <c r="T31" s="6">
        <v>31729.070769230701</v>
      </c>
      <c r="U31" s="2"/>
      <c r="V31" s="7">
        <f t="shared" si="13"/>
        <v>0</v>
      </c>
      <c r="W31" s="2"/>
      <c r="X31" s="6">
        <f t="shared" si="14"/>
        <v>14984.909230769303</v>
      </c>
      <c r="Y31" s="2"/>
      <c r="Z31" s="7">
        <f t="shared" si="15"/>
        <v>0.47227696454637225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>
        <v>205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205</v>
      </c>
      <c r="M36" s="2"/>
      <c r="N36" s="7">
        <f t="shared" si="11"/>
        <v>0</v>
      </c>
      <c r="O36" s="11"/>
      <c r="P36" s="6">
        <v>205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205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9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SUM(OSRRefD22_2x_0)</f>
        <v>1558.88</v>
      </c>
      <c r="E40" s="1"/>
      <c r="F40" s="5">
        <f t="shared" ref="F40:F51" si="16">IF(D$12=0,0,D40/D$12)</f>
        <v>0</v>
      </c>
      <c r="G40" s="1"/>
      <c r="H40" s="1">
        <f>SUM(OSRRefH22_2x_0)</f>
        <v>1559</v>
      </c>
      <c r="I40" s="1"/>
      <c r="J40" s="5">
        <f t="shared" ref="J40:J51" si="17">IF(H$12=0,0,H40/H$12)</f>
        <v>0</v>
      </c>
      <c r="K40" s="1"/>
      <c r="L40" s="1">
        <f t="shared" ref="L40:L51" si="18">+D40-H40</f>
        <v>-0.11999999999989086</v>
      </c>
      <c r="M40" s="1"/>
      <c r="N40" s="5">
        <f t="shared" ref="N40:N51" si="19">IF(H40=0,0,L40/H40)</f>
        <v>-7.6972418216735637E-5</v>
      </c>
      <c r="O40" s="14"/>
      <c r="P40" s="1">
        <f>SUM(OSRRefP22_2x_0)</f>
        <v>3117.76</v>
      </c>
      <c r="Q40" s="1"/>
      <c r="R40" s="5">
        <f t="shared" ref="R40:R51" si="20">IF(P$12=0,0,P40/P$12)</f>
        <v>0</v>
      </c>
      <c r="S40" s="1"/>
      <c r="T40" s="1">
        <f>SUM(OSRRefT22_2x_0)</f>
        <v>3118</v>
      </c>
      <c r="U40" s="1"/>
      <c r="V40" s="5">
        <f t="shared" ref="V40:V51" si="21">IF(T$12=0,0,T40/T$12)</f>
        <v>0</v>
      </c>
      <c r="W40" s="1"/>
      <c r="X40" s="1">
        <f t="shared" ref="X40:X51" si="22">+P40-T40</f>
        <v>-0.23999999999978172</v>
      </c>
      <c r="Y40" s="1"/>
      <c r="Z40" s="5">
        <f t="shared" ref="Z40:Z51" si="23">IF(T40=0,0,X40/T40)</f>
        <v>-7.6972418216735637E-5</v>
      </c>
    </row>
    <row r="41" spans="1:26" s="24" customFormat="1" hidden="1" outlineLevel="2" x14ac:dyDescent="0.3">
      <c r="A41" s="27"/>
      <c r="B41" s="11" t="str">
        <f>CONCATENATE("          ", "6322", " - ", "EQUIPMENT DEPRECIATION EXPENSE")</f>
        <v xml:space="preserve">          6322 - EQUIPMENT DEPRECIATION EXPENSE</v>
      </c>
      <c r="C41" s="11"/>
      <c r="D41" s="6">
        <v>1558.88</v>
      </c>
      <c r="E41" s="2"/>
      <c r="F41" s="7">
        <f t="shared" si="16"/>
        <v>0</v>
      </c>
      <c r="G41" s="2"/>
      <c r="H41" s="6">
        <v>1559</v>
      </c>
      <c r="I41" s="2"/>
      <c r="J41" s="7">
        <f t="shared" si="17"/>
        <v>0</v>
      </c>
      <c r="K41" s="2"/>
      <c r="L41" s="6">
        <f t="shared" si="18"/>
        <v>-0.11999999999989086</v>
      </c>
      <c r="M41" s="2"/>
      <c r="N41" s="7">
        <f t="shared" si="19"/>
        <v>-7.6972418216735637E-5</v>
      </c>
      <c r="O41" s="11"/>
      <c r="P41" s="6">
        <v>3117.76</v>
      </c>
      <c r="Q41" s="2"/>
      <c r="R41" s="7">
        <f t="shared" si="20"/>
        <v>0</v>
      </c>
      <c r="S41" s="2"/>
      <c r="T41" s="6">
        <v>3118</v>
      </c>
      <c r="U41" s="2"/>
      <c r="V41" s="7">
        <f t="shared" si="21"/>
        <v>0</v>
      </c>
      <c r="W41" s="2"/>
      <c r="X41" s="6">
        <f t="shared" si="22"/>
        <v>-0.23999999999978172</v>
      </c>
      <c r="Y41" s="2"/>
      <c r="Z41" s="7">
        <f t="shared" si="23"/>
        <v>-7.6972418216735637E-5</v>
      </c>
    </row>
    <row r="42" spans="1:26" s="28" customFormat="1" outlineLevel="1" collapsed="1" x14ac:dyDescent="0.3">
      <c r="A42" s="29"/>
      <c r="B42" s="14" t="str">
        <f>CONCATENATE("     ","Equipment Rental                                  ")</f>
        <v xml:space="preserve">     Equipment Rental                                  </v>
      </c>
      <c r="C42" s="14"/>
      <c r="D42" s="1">
        <f>SUM(OSRRefD22_3x_0)</f>
        <v>91.26</v>
      </c>
      <c r="E42" s="1"/>
      <c r="F42" s="5">
        <f t="shared" si="16"/>
        <v>0</v>
      </c>
      <c r="G42" s="1"/>
      <c r="H42" s="1">
        <f>SUM(OSRRefH22_3x_0)</f>
        <v>91</v>
      </c>
      <c r="I42" s="1"/>
      <c r="J42" s="5">
        <f t="shared" si="17"/>
        <v>0</v>
      </c>
      <c r="K42" s="1"/>
      <c r="L42" s="1">
        <f t="shared" si="18"/>
        <v>0.26000000000000512</v>
      </c>
      <c r="M42" s="1"/>
      <c r="N42" s="5">
        <f t="shared" si="19"/>
        <v>2.8571428571429135E-3</v>
      </c>
      <c r="O42" s="14"/>
      <c r="P42" s="1">
        <f>SUM(OSRRefP22_3x_0)</f>
        <v>182.52</v>
      </c>
      <c r="Q42" s="1"/>
      <c r="R42" s="5">
        <f t="shared" si="20"/>
        <v>0</v>
      </c>
      <c r="S42" s="1"/>
      <c r="T42" s="1">
        <f>SUM(OSRRefT22_3x_0)</f>
        <v>182</v>
      </c>
      <c r="U42" s="1"/>
      <c r="V42" s="5">
        <f t="shared" si="21"/>
        <v>0</v>
      </c>
      <c r="W42" s="1"/>
      <c r="X42" s="1">
        <f t="shared" si="22"/>
        <v>0.52000000000001023</v>
      </c>
      <c r="Y42" s="1"/>
      <c r="Z42" s="5">
        <f t="shared" si="23"/>
        <v>2.8571428571429135E-3</v>
      </c>
    </row>
    <row r="43" spans="1:26" s="24" customFormat="1" hidden="1" outlineLevel="2" x14ac:dyDescent="0.3">
      <c r="A43" s="27"/>
      <c r="B43" s="11" t="str">
        <f>CONCATENATE("          ", "6351", " - ", "EQUIPMENT RENTAL")</f>
        <v xml:space="preserve">          6351 - EQUIPMENT RENTAL</v>
      </c>
      <c r="C43" s="11"/>
      <c r="D43" s="6">
        <v>91.26</v>
      </c>
      <c r="E43" s="2"/>
      <c r="F43" s="7">
        <f t="shared" si="16"/>
        <v>0</v>
      </c>
      <c r="G43" s="2"/>
      <c r="H43" s="6">
        <v>91</v>
      </c>
      <c r="I43" s="2"/>
      <c r="J43" s="7">
        <f t="shared" si="17"/>
        <v>0</v>
      </c>
      <c r="K43" s="2"/>
      <c r="L43" s="6">
        <f t="shared" si="18"/>
        <v>0.26000000000000512</v>
      </c>
      <c r="M43" s="2"/>
      <c r="N43" s="7">
        <f t="shared" si="19"/>
        <v>2.8571428571429135E-3</v>
      </c>
      <c r="O43" s="11"/>
      <c r="P43" s="6">
        <v>182.52</v>
      </c>
      <c r="Q43" s="2"/>
      <c r="R43" s="7">
        <f t="shared" si="20"/>
        <v>0</v>
      </c>
      <c r="S43" s="2"/>
      <c r="T43" s="6">
        <v>182</v>
      </c>
      <c r="U43" s="2"/>
      <c r="V43" s="7">
        <f t="shared" si="21"/>
        <v>0</v>
      </c>
      <c r="W43" s="2"/>
      <c r="X43" s="6">
        <f t="shared" si="22"/>
        <v>0.52000000000001023</v>
      </c>
      <c r="Y43" s="2"/>
      <c r="Z43" s="7">
        <f t="shared" si="23"/>
        <v>2.8571428571429135E-3</v>
      </c>
    </row>
    <row r="44" spans="1:26" s="28" customFormat="1" outlineLevel="1" collapsed="1" x14ac:dyDescent="0.3">
      <c r="A44" s="29"/>
      <c r="B44" s="14" t="str">
        <f>CONCATENATE("     ","Freight out/Postage                               ")</f>
        <v xml:space="preserve">     Freight out/Postage                               </v>
      </c>
      <c r="C44" s="14"/>
      <c r="D44" s="1">
        <f>SUM(OSRRefD22_4x_0)</f>
        <v>108.63</v>
      </c>
      <c r="E44" s="1"/>
      <c r="F44" s="5">
        <f t="shared" si="16"/>
        <v>0</v>
      </c>
      <c r="G44" s="1"/>
      <c r="H44" s="1">
        <f>SUM(OSRRefH22_4x_0)</f>
        <v>100</v>
      </c>
      <c r="I44" s="1"/>
      <c r="J44" s="5">
        <f t="shared" si="17"/>
        <v>0</v>
      </c>
      <c r="K44" s="1"/>
      <c r="L44" s="1">
        <f t="shared" si="18"/>
        <v>8.6299999999999955</v>
      </c>
      <c r="M44" s="1"/>
      <c r="N44" s="5">
        <f t="shared" si="19"/>
        <v>8.629999999999996E-2</v>
      </c>
      <c r="O44" s="14"/>
      <c r="P44" s="1">
        <f>SUM(OSRRefP22_4x_0)</f>
        <v>196.75</v>
      </c>
      <c r="Q44" s="1"/>
      <c r="R44" s="5">
        <f t="shared" si="20"/>
        <v>0</v>
      </c>
      <c r="S44" s="1"/>
      <c r="T44" s="1">
        <f>SUM(OSRRefT22_4x_0)</f>
        <v>200</v>
      </c>
      <c r="U44" s="1"/>
      <c r="V44" s="5">
        <f t="shared" si="21"/>
        <v>0</v>
      </c>
      <c r="W44" s="1"/>
      <c r="X44" s="1">
        <f t="shared" si="22"/>
        <v>-3.25</v>
      </c>
      <c r="Y44" s="1"/>
      <c r="Z44" s="5">
        <f t="shared" si="23"/>
        <v>-1.6250000000000001E-2</v>
      </c>
    </row>
    <row r="45" spans="1:26" s="24" customFormat="1" hidden="1" outlineLevel="2" x14ac:dyDescent="0.3">
      <c r="A45" s="27"/>
      <c r="B45" s="11" t="str">
        <f>CONCATENATE("          ", "6307", " - ", "POSTAGE")</f>
        <v xml:space="preserve">          6307 - POSTAGE</v>
      </c>
      <c r="C45" s="11"/>
      <c r="D45" s="6">
        <v>108.63</v>
      </c>
      <c r="E45" s="2"/>
      <c r="F45" s="7">
        <f t="shared" si="16"/>
        <v>0</v>
      </c>
      <c r="G45" s="2"/>
      <c r="H45" s="6">
        <v>100</v>
      </c>
      <c r="I45" s="2"/>
      <c r="J45" s="7">
        <f t="shared" si="17"/>
        <v>0</v>
      </c>
      <c r="K45" s="2"/>
      <c r="L45" s="6">
        <f t="shared" si="18"/>
        <v>8.6299999999999955</v>
      </c>
      <c r="M45" s="2"/>
      <c r="N45" s="7">
        <f t="shared" si="19"/>
        <v>8.629999999999996E-2</v>
      </c>
      <c r="O45" s="11"/>
      <c r="P45" s="6">
        <v>196.75</v>
      </c>
      <c r="Q45" s="2"/>
      <c r="R45" s="7">
        <f t="shared" si="20"/>
        <v>0</v>
      </c>
      <c r="S45" s="2"/>
      <c r="T45" s="6">
        <v>200</v>
      </c>
      <c r="U45" s="2"/>
      <c r="V45" s="7">
        <f t="shared" si="21"/>
        <v>0</v>
      </c>
      <c r="W45" s="2"/>
      <c r="X45" s="6">
        <f t="shared" si="22"/>
        <v>-3.25</v>
      </c>
      <c r="Y45" s="2"/>
      <c r="Z45" s="7">
        <f t="shared" si="23"/>
        <v>-1.6250000000000001E-2</v>
      </c>
    </row>
    <row r="46" spans="1:26" s="28" customFormat="1" outlineLevel="1" collapsed="1" x14ac:dyDescent="0.3">
      <c r="A46" s="29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SUM(OSRRefD22_5x_0)</f>
        <v>179.64</v>
      </c>
      <c r="E46" s="1"/>
      <c r="F46" s="5">
        <f t="shared" si="16"/>
        <v>0</v>
      </c>
      <c r="G46" s="1"/>
      <c r="H46" s="1">
        <f>SUM(OSRRefH22_5x_0)</f>
        <v>180</v>
      </c>
      <c r="I46" s="1"/>
      <c r="J46" s="5">
        <f t="shared" si="17"/>
        <v>0</v>
      </c>
      <c r="K46" s="1"/>
      <c r="L46" s="1">
        <f t="shared" si="18"/>
        <v>-0.36000000000001364</v>
      </c>
      <c r="M46" s="1"/>
      <c r="N46" s="5">
        <f t="shared" si="19"/>
        <v>-2.0000000000000759E-3</v>
      </c>
      <c r="O46" s="14"/>
      <c r="P46" s="1">
        <f>SUM(OSRRefP22_5x_0)</f>
        <v>359.28</v>
      </c>
      <c r="Q46" s="1"/>
      <c r="R46" s="5">
        <f t="shared" si="20"/>
        <v>0</v>
      </c>
      <c r="S46" s="1"/>
      <c r="T46" s="1">
        <f>SUM(OSRRefT22_5x_0)</f>
        <v>360</v>
      </c>
      <c r="U46" s="1"/>
      <c r="V46" s="5">
        <f t="shared" si="21"/>
        <v>0</v>
      </c>
      <c r="W46" s="1"/>
      <c r="X46" s="1">
        <f t="shared" si="22"/>
        <v>-0.72000000000002728</v>
      </c>
      <c r="Y46" s="1"/>
      <c r="Z46" s="5">
        <f t="shared" si="23"/>
        <v>-2.0000000000000759E-3</v>
      </c>
    </row>
    <row r="47" spans="1:26" s="24" customFormat="1" hidden="1" outlineLevel="2" x14ac:dyDescent="0.3">
      <c r="A47" s="27"/>
      <c r="B47" s="11" t="str">
        <f>CONCATENATE("          ", "6314", " - ", "LIABILITY INSURANCE")</f>
        <v xml:space="preserve">          6314 - LIABILITY INSURANCE</v>
      </c>
      <c r="C47" s="11"/>
      <c r="D47" s="6">
        <v>179.64</v>
      </c>
      <c r="E47" s="2"/>
      <c r="F47" s="7">
        <f t="shared" si="16"/>
        <v>0</v>
      </c>
      <c r="G47" s="2"/>
      <c r="H47" s="6">
        <v>180</v>
      </c>
      <c r="I47" s="2"/>
      <c r="J47" s="7">
        <f t="shared" si="17"/>
        <v>0</v>
      </c>
      <c r="K47" s="2"/>
      <c r="L47" s="6">
        <f t="shared" si="18"/>
        <v>-0.36000000000001364</v>
      </c>
      <c r="M47" s="2"/>
      <c r="N47" s="7">
        <f t="shared" si="19"/>
        <v>-2.0000000000000759E-3</v>
      </c>
      <c r="O47" s="11"/>
      <c r="P47" s="6">
        <v>359.28</v>
      </c>
      <c r="Q47" s="2"/>
      <c r="R47" s="7">
        <f t="shared" si="20"/>
        <v>0</v>
      </c>
      <c r="S47" s="2"/>
      <c r="T47" s="6">
        <v>360</v>
      </c>
      <c r="U47" s="2"/>
      <c r="V47" s="7">
        <f t="shared" si="21"/>
        <v>0</v>
      </c>
      <c r="W47" s="2"/>
      <c r="X47" s="6">
        <f t="shared" si="22"/>
        <v>-0.72000000000002728</v>
      </c>
      <c r="Y47" s="2"/>
      <c r="Z47" s="7">
        <f t="shared" si="23"/>
        <v>-2.0000000000000759E-3</v>
      </c>
    </row>
    <row r="48" spans="1:26" s="28" customFormat="1" outlineLevel="1" collapsed="1" x14ac:dyDescent="0.3">
      <c r="A48" s="29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SUM(OSRRefD22_6x_0)</f>
        <v>1617.51</v>
      </c>
      <c r="E48" s="1"/>
      <c r="F48" s="5">
        <f t="shared" si="16"/>
        <v>0</v>
      </c>
      <c r="G48" s="1"/>
      <c r="H48" s="1">
        <f>SUM(OSRRefH22_6x_0)</f>
        <v>210</v>
      </c>
      <c r="I48" s="1"/>
      <c r="J48" s="5">
        <f t="shared" si="17"/>
        <v>0</v>
      </c>
      <c r="K48" s="1"/>
      <c r="L48" s="1">
        <f t="shared" si="18"/>
        <v>1407.51</v>
      </c>
      <c r="M48" s="1"/>
      <c r="N48" s="5">
        <f t="shared" si="19"/>
        <v>6.7024285714285714</v>
      </c>
      <c r="O48" s="14"/>
      <c r="P48" s="1">
        <f>SUM(OSRRefP22_6x_0)</f>
        <v>1677.46</v>
      </c>
      <c r="Q48" s="1"/>
      <c r="R48" s="5">
        <f t="shared" si="20"/>
        <v>0</v>
      </c>
      <c r="S48" s="1"/>
      <c r="T48" s="1">
        <f>SUM(OSRRefT22_6x_0)</f>
        <v>420</v>
      </c>
      <c r="U48" s="1"/>
      <c r="V48" s="5">
        <f t="shared" si="21"/>
        <v>0</v>
      </c>
      <c r="W48" s="1"/>
      <c r="X48" s="1">
        <f t="shared" si="22"/>
        <v>1257.46</v>
      </c>
      <c r="Y48" s="1"/>
      <c r="Z48" s="5">
        <f t="shared" si="23"/>
        <v>2.9939523809523809</v>
      </c>
    </row>
    <row r="49" spans="1:26" s="24" customFormat="1" hidden="1" outlineLevel="2" x14ac:dyDescent="0.3">
      <c r="A49" s="27"/>
      <c r="B49" s="11" t="str">
        <f>CONCATENATE("          ", "6371", " - ", "COMPUTER SOFTWARE MAINTENANCE")</f>
        <v xml:space="preserve">          6371 - COMPUTER SOFTWARE MAINTENANCE</v>
      </c>
      <c r="C49" s="11"/>
      <c r="D49" s="6">
        <v>59.95</v>
      </c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59.95</v>
      </c>
      <c r="M49" s="2"/>
      <c r="N49" s="7">
        <f t="shared" si="19"/>
        <v>0</v>
      </c>
      <c r="O49" s="11"/>
      <c r="P49" s="6">
        <v>119.9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119.9</v>
      </c>
      <c r="Y49" s="2"/>
      <c r="Z49" s="7">
        <f t="shared" si="23"/>
        <v>0</v>
      </c>
    </row>
    <row r="50" spans="1:26" s="24" customFormat="1" hidden="1" outlineLevel="2" x14ac:dyDescent="0.3">
      <c r="A50" s="27"/>
      <c r="B50" s="11" t="str">
        <f>CONCATENATE("          ", "6373", " - ", "MAINTENANCE CONTRACTS")</f>
        <v xml:space="preserve">          6373 - MAINTENANCE CONTRACTS</v>
      </c>
      <c r="C50" s="11"/>
      <c r="D50" s="6"/>
      <c r="E50" s="2"/>
      <c r="F50" s="7">
        <f t="shared" si="16"/>
        <v>0</v>
      </c>
      <c r="G50" s="2"/>
      <c r="H50" s="6">
        <v>60</v>
      </c>
      <c r="I50" s="2"/>
      <c r="J50" s="7">
        <f t="shared" si="17"/>
        <v>0</v>
      </c>
      <c r="K50" s="2"/>
      <c r="L50" s="6">
        <f t="shared" si="18"/>
        <v>-60</v>
      </c>
      <c r="M50" s="2"/>
      <c r="N50" s="7">
        <f t="shared" si="19"/>
        <v>-1</v>
      </c>
      <c r="O50" s="11"/>
      <c r="P50" s="6"/>
      <c r="Q50" s="2"/>
      <c r="R50" s="7">
        <f t="shared" si="20"/>
        <v>0</v>
      </c>
      <c r="S50" s="2"/>
      <c r="T50" s="6">
        <v>120</v>
      </c>
      <c r="U50" s="2"/>
      <c r="V50" s="7">
        <f t="shared" si="21"/>
        <v>0</v>
      </c>
      <c r="W50" s="2"/>
      <c r="X50" s="6">
        <f t="shared" si="22"/>
        <v>-120</v>
      </c>
      <c r="Y50" s="2"/>
      <c r="Z50" s="7">
        <f t="shared" si="23"/>
        <v>-1</v>
      </c>
    </row>
    <row r="51" spans="1:26" s="24" customFormat="1" hidden="1" outlineLevel="2" x14ac:dyDescent="0.3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6">
        <v>1557.56</v>
      </c>
      <c r="E51" s="2"/>
      <c r="F51" s="7">
        <f t="shared" si="16"/>
        <v>0</v>
      </c>
      <c r="G51" s="2"/>
      <c r="H51" s="6">
        <v>150</v>
      </c>
      <c r="I51" s="2"/>
      <c r="J51" s="7">
        <f t="shared" si="17"/>
        <v>0</v>
      </c>
      <c r="K51" s="2"/>
      <c r="L51" s="6">
        <f t="shared" si="18"/>
        <v>1407.56</v>
      </c>
      <c r="M51" s="2"/>
      <c r="N51" s="7">
        <f t="shared" si="19"/>
        <v>9.3837333333333337</v>
      </c>
      <c r="O51" s="11"/>
      <c r="P51" s="6">
        <v>1557.56</v>
      </c>
      <c r="Q51" s="2"/>
      <c r="R51" s="7">
        <f t="shared" si="20"/>
        <v>0</v>
      </c>
      <c r="S51" s="2"/>
      <c r="T51" s="6">
        <v>300</v>
      </c>
      <c r="U51" s="2"/>
      <c r="V51" s="7">
        <f t="shared" si="21"/>
        <v>0</v>
      </c>
      <c r="W51" s="2"/>
      <c r="X51" s="6">
        <f t="shared" si="22"/>
        <v>1257.56</v>
      </c>
      <c r="Y51" s="2"/>
      <c r="Z51" s="7">
        <f t="shared" si="23"/>
        <v>4.1918666666666669</v>
      </c>
    </row>
    <row r="52" spans="1:26" s="28" customFormat="1" outlineLevel="1" collapsed="1" x14ac:dyDescent="0.3">
      <c r="A52" s="29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SUM(OSRRefD22_7x_0)</f>
        <v>1367.89</v>
      </c>
      <c r="E52" s="1"/>
      <c r="F52" s="5">
        <f t="shared" ref="F52:F61" si="24">IF(D$12=0,0,D52/D$12)</f>
        <v>0</v>
      </c>
      <c r="G52" s="1"/>
      <c r="H52" s="1">
        <f>SUM(OSRRefH22_7x_0)</f>
        <v>625</v>
      </c>
      <c r="I52" s="1"/>
      <c r="J52" s="5">
        <f t="shared" ref="J52:J61" si="25">IF(H$12=0,0,H52/H$12)</f>
        <v>0</v>
      </c>
      <c r="K52" s="1"/>
      <c r="L52" s="1">
        <f t="shared" ref="L52:L61" si="26">+D52-H52</f>
        <v>742.8900000000001</v>
      </c>
      <c r="M52" s="1"/>
      <c r="N52" s="5">
        <f t="shared" ref="N52:N61" si="27">IF(H52=0,0,L52/H52)</f>
        <v>1.1886240000000001</v>
      </c>
      <c r="O52" s="14"/>
      <c r="P52" s="1">
        <f>SUM(OSRRefP22_7x_0)</f>
        <v>1367.89</v>
      </c>
      <c r="Q52" s="1"/>
      <c r="R52" s="5">
        <f t="shared" ref="R52:R61" si="28">IF(P$12=0,0,P52/P$12)</f>
        <v>0</v>
      </c>
      <c r="S52" s="1"/>
      <c r="T52" s="1">
        <f>SUM(OSRRefT22_7x_0)</f>
        <v>1250</v>
      </c>
      <c r="U52" s="1"/>
      <c r="V52" s="5">
        <f t="shared" ref="V52:V61" si="29">IF(T$12=0,0,T52/T$12)</f>
        <v>0</v>
      </c>
      <c r="W52" s="1"/>
      <c r="X52" s="1">
        <f t="shared" ref="X52:X61" si="30">+P52-T52</f>
        <v>117.8900000000001</v>
      </c>
      <c r="Y52" s="1"/>
      <c r="Z52" s="5">
        <f t="shared" ref="Z52:Z61" si="31">IF(T52=0,0,X52/T52)</f>
        <v>9.4312000000000076E-2</v>
      </c>
    </row>
    <row r="53" spans="1:26" s="24" customFormat="1" hidden="1" outlineLevel="2" x14ac:dyDescent="0.3">
      <c r="A53" s="27"/>
      <c r="B53" s="11" t="str">
        <f>CONCATENATE("          ", "6281", " - ", "STORAGE FEE")</f>
        <v xml:space="preserve">          6281 - STORAGE FEE</v>
      </c>
      <c r="C53" s="11"/>
      <c r="D53" s="6">
        <v>1367.89</v>
      </c>
      <c r="E53" s="2"/>
      <c r="F53" s="7">
        <f t="shared" si="24"/>
        <v>0</v>
      </c>
      <c r="G53" s="2"/>
      <c r="H53" s="6">
        <v>625</v>
      </c>
      <c r="I53" s="2"/>
      <c r="J53" s="7">
        <f t="shared" si="25"/>
        <v>0</v>
      </c>
      <c r="K53" s="2"/>
      <c r="L53" s="6">
        <f t="shared" si="26"/>
        <v>742.8900000000001</v>
      </c>
      <c r="M53" s="2"/>
      <c r="N53" s="7">
        <f t="shared" si="27"/>
        <v>1.1886240000000001</v>
      </c>
      <c r="O53" s="11"/>
      <c r="P53" s="6">
        <v>1367.89</v>
      </c>
      <c r="Q53" s="2"/>
      <c r="R53" s="7">
        <f t="shared" si="28"/>
        <v>0</v>
      </c>
      <c r="S53" s="2"/>
      <c r="T53" s="6">
        <v>1250</v>
      </c>
      <c r="U53" s="2"/>
      <c r="V53" s="7">
        <f t="shared" si="29"/>
        <v>0</v>
      </c>
      <c r="W53" s="2"/>
      <c r="X53" s="6">
        <f t="shared" si="30"/>
        <v>117.8900000000001</v>
      </c>
      <c r="Y53" s="2"/>
      <c r="Z53" s="7">
        <f t="shared" si="31"/>
        <v>9.4312000000000076E-2</v>
      </c>
    </row>
    <row r="54" spans="1:26" s="28" customFormat="1" outlineLevel="1" collapsed="1" x14ac:dyDescent="0.3">
      <c r="A54" s="29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SUM(OSRRefD22_8x_0)</f>
        <v>1036.44</v>
      </c>
      <c r="E54" s="1"/>
      <c r="F54" s="5">
        <f t="shared" si="24"/>
        <v>0</v>
      </c>
      <c r="G54" s="1"/>
      <c r="H54" s="1">
        <f>SUM(OSRRefH22_8x_0)</f>
        <v>100</v>
      </c>
      <c r="I54" s="1"/>
      <c r="J54" s="5">
        <f t="shared" si="25"/>
        <v>0</v>
      </c>
      <c r="K54" s="1"/>
      <c r="L54" s="1">
        <f t="shared" si="26"/>
        <v>936.44</v>
      </c>
      <c r="M54" s="1"/>
      <c r="N54" s="5">
        <f t="shared" si="27"/>
        <v>9.3643999999999998</v>
      </c>
      <c r="O54" s="14"/>
      <c r="P54" s="1">
        <f>SUM(OSRRefP22_8x_0)</f>
        <v>1308.6600000000001</v>
      </c>
      <c r="Q54" s="1"/>
      <c r="R54" s="5">
        <f t="shared" si="28"/>
        <v>0</v>
      </c>
      <c r="S54" s="1"/>
      <c r="T54" s="1">
        <f>SUM(OSRRefT22_8x_0)</f>
        <v>200</v>
      </c>
      <c r="U54" s="1"/>
      <c r="V54" s="5">
        <f t="shared" si="29"/>
        <v>0</v>
      </c>
      <c r="W54" s="1"/>
      <c r="X54" s="1">
        <f t="shared" si="30"/>
        <v>1108.6600000000001</v>
      </c>
      <c r="Y54" s="1"/>
      <c r="Z54" s="5">
        <f t="shared" si="31"/>
        <v>5.5433000000000003</v>
      </c>
    </row>
    <row r="55" spans="1:26" s="24" customFormat="1" hidden="1" outlineLevel="2" x14ac:dyDescent="0.3">
      <c r="A55" s="27"/>
      <c r="B55" s="11" t="str">
        <f>CONCATENATE("          ", "6241", " - ", "OFFICE EXPENSE")</f>
        <v xml:space="preserve">          6241 - OFFICE EXPENSE</v>
      </c>
      <c r="C55" s="11"/>
      <c r="D55" s="6">
        <v>1036.44</v>
      </c>
      <c r="E55" s="2"/>
      <c r="F55" s="7">
        <f t="shared" si="24"/>
        <v>0</v>
      </c>
      <c r="G55" s="2"/>
      <c r="H55" s="6">
        <v>100</v>
      </c>
      <c r="I55" s="2"/>
      <c r="J55" s="7">
        <f t="shared" si="25"/>
        <v>0</v>
      </c>
      <c r="K55" s="2"/>
      <c r="L55" s="6">
        <f t="shared" si="26"/>
        <v>936.44</v>
      </c>
      <c r="M55" s="2"/>
      <c r="N55" s="7">
        <f t="shared" si="27"/>
        <v>9.3643999999999998</v>
      </c>
      <c r="O55" s="11"/>
      <c r="P55" s="6">
        <v>1308.6600000000001</v>
      </c>
      <c r="Q55" s="2"/>
      <c r="R55" s="7">
        <f t="shared" si="28"/>
        <v>0</v>
      </c>
      <c r="S55" s="2"/>
      <c r="T55" s="6">
        <v>200</v>
      </c>
      <c r="U55" s="2"/>
      <c r="V55" s="7">
        <f t="shared" si="29"/>
        <v>0</v>
      </c>
      <c r="W55" s="2"/>
      <c r="X55" s="6">
        <f t="shared" si="30"/>
        <v>1108.6600000000001</v>
      </c>
      <c r="Y55" s="2"/>
      <c r="Z55" s="7">
        <f t="shared" si="31"/>
        <v>5.5433000000000003</v>
      </c>
    </row>
    <row r="56" spans="1:26" s="28" customFormat="1" outlineLevel="1" collapsed="1" x14ac:dyDescent="0.3">
      <c r="A56" s="29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SUM(OSRRefD22_9x_0)</f>
        <v>423.75</v>
      </c>
      <c r="E56" s="1"/>
      <c r="F56" s="5">
        <f t="shared" si="24"/>
        <v>0</v>
      </c>
      <c r="G56" s="1"/>
      <c r="H56" s="1">
        <f>SUM(OSRRefH22_9x_0)</f>
        <v>400</v>
      </c>
      <c r="I56" s="1"/>
      <c r="J56" s="5">
        <f t="shared" si="25"/>
        <v>0</v>
      </c>
      <c r="K56" s="1"/>
      <c r="L56" s="1">
        <f t="shared" si="26"/>
        <v>23.75</v>
      </c>
      <c r="M56" s="1"/>
      <c r="N56" s="5">
        <f t="shared" si="27"/>
        <v>5.9374999999999997E-2</v>
      </c>
      <c r="O56" s="14"/>
      <c r="P56" s="1">
        <f>SUM(OSRRefP22_9x_0)</f>
        <v>871.85</v>
      </c>
      <c r="Q56" s="1"/>
      <c r="R56" s="5">
        <f t="shared" si="28"/>
        <v>0</v>
      </c>
      <c r="S56" s="1"/>
      <c r="T56" s="1">
        <f>SUM(OSRRefT22_9x_0)</f>
        <v>800</v>
      </c>
      <c r="U56" s="1"/>
      <c r="V56" s="5">
        <f t="shared" si="29"/>
        <v>0</v>
      </c>
      <c r="W56" s="1"/>
      <c r="X56" s="1">
        <f t="shared" si="30"/>
        <v>71.850000000000023</v>
      </c>
      <c r="Y56" s="1"/>
      <c r="Z56" s="5">
        <f t="shared" si="31"/>
        <v>8.9812500000000031E-2</v>
      </c>
    </row>
    <row r="57" spans="1:26" s="24" customFormat="1" hidden="1" outlineLevel="2" x14ac:dyDescent="0.3">
      <c r="A57" s="27"/>
      <c r="B57" s="11" t="str">
        <f>CONCATENATE("          ", "6309", " - ", "TELEPHONE")</f>
        <v xml:space="preserve">          6309 - TELEPHONE</v>
      </c>
      <c r="C57" s="11"/>
      <c r="D57" s="6">
        <v>423.75</v>
      </c>
      <c r="E57" s="2"/>
      <c r="F57" s="7">
        <f t="shared" si="24"/>
        <v>0</v>
      </c>
      <c r="G57" s="2"/>
      <c r="H57" s="6">
        <v>400</v>
      </c>
      <c r="I57" s="2"/>
      <c r="J57" s="7">
        <f t="shared" si="25"/>
        <v>0</v>
      </c>
      <c r="K57" s="2"/>
      <c r="L57" s="6">
        <f t="shared" si="26"/>
        <v>23.75</v>
      </c>
      <c r="M57" s="2"/>
      <c r="N57" s="7">
        <f t="shared" si="27"/>
        <v>5.9374999999999997E-2</v>
      </c>
      <c r="O57" s="11"/>
      <c r="P57" s="6">
        <v>871.85</v>
      </c>
      <c r="Q57" s="2"/>
      <c r="R57" s="7">
        <f t="shared" si="28"/>
        <v>0</v>
      </c>
      <c r="S57" s="2"/>
      <c r="T57" s="6">
        <v>800</v>
      </c>
      <c r="U57" s="2"/>
      <c r="V57" s="7">
        <f t="shared" si="29"/>
        <v>0</v>
      </c>
      <c r="W57" s="2"/>
      <c r="X57" s="6">
        <f t="shared" si="30"/>
        <v>71.850000000000023</v>
      </c>
      <c r="Y57" s="2"/>
      <c r="Z57" s="7">
        <f t="shared" si="31"/>
        <v>8.9812500000000031E-2</v>
      </c>
    </row>
    <row r="58" spans="1:26" s="28" customFormat="1" outlineLevel="1" collapsed="1" x14ac:dyDescent="0.3">
      <c r="A58" s="29"/>
      <c r="B58" s="14" t="str">
        <f>CONCATENATE("     ","Training                                          ")</f>
        <v xml:space="preserve">     Training                                          </v>
      </c>
      <c r="C58" s="14"/>
      <c r="D58" s="1">
        <f>SUM(OSRRefD22_10x_0)</f>
        <v>595</v>
      </c>
      <c r="E58" s="1"/>
      <c r="F58" s="5">
        <f t="shared" si="24"/>
        <v>0</v>
      </c>
      <c r="G58" s="1"/>
      <c r="H58" s="1">
        <f>SUM(OSRRefH22_10x_0)</f>
        <v>0</v>
      </c>
      <c r="I58" s="1"/>
      <c r="J58" s="5">
        <f t="shared" si="25"/>
        <v>0</v>
      </c>
      <c r="K58" s="1"/>
      <c r="L58" s="1">
        <f t="shared" si="26"/>
        <v>595</v>
      </c>
      <c r="M58" s="1"/>
      <c r="N58" s="5">
        <f t="shared" si="27"/>
        <v>0</v>
      </c>
      <c r="O58" s="14"/>
      <c r="P58" s="1">
        <f>SUM(OSRRefP22_10x_0)</f>
        <v>595</v>
      </c>
      <c r="Q58" s="1"/>
      <c r="R58" s="5">
        <f t="shared" si="28"/>
        <v>0</v>
      </c>
      <c r="S58" s="1"/>
      <c r="T58" s="1">
        <f>SUM(OSRRefT22_10x_0)</f>
        <v>0</v>
      </c>
      <c r="U58" s="1"/>
      <c r="V58" s="5">
        <f t="shared" si="29"/>
        <v>0</v>
      </c>
      <c r="W58" s="1"/>
      <c r="X58" s="1">
        <f t="shared" si="30"/>
        <v>595</v>
      </c>
      <c r="Y58" s="1"/>
      <c r="Z58" s="5">
        <f t="shared" si="31"/>
        <v>0</v>
      </c>
    </row>
    <row r="59" spans="1:26" s="24" customFormat="1" hidden="1" outlineLevel="2" x14ac:dyDescent="0.3">
      <c r="A59" s="27"/>
      <c r="B59" s="11" t="str">
        <f>CONCATENATE("          ", "6376", " - ", "TRAINING")</f>
        <v xml:space="preserve">          6376 - TRAINING</v>
      </c>
      <c r="C59" s="11"/>
      <c r="D59" s="6">
        <v>595</v>
      </c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595</v>
      </c>
      <c r="M59" s="2"/>
      <c r="N59" s="7">
        <f t="shared" si="27"/>
        <v>0</v>
      </c>
      <c r="O59" s="11"/>
      <c r="P59" s="6">
        <v>595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595</v>
      </c>
      <c r="Y59" s="2"/>
      <c r="Z59" s="7">
        <f t="shared" si="31"/>
        <v>0</v>
      </c>
    </row>
    <row r="60" spans="1:26" s="28" customFormat="1" outlineLevel="1" collapsed="1" x14ac:dyDescent="0.3">
      <c r="A60" s="29"/>
      <c r="B60" s="14" t="str">
        <f>CONCATENATE("     ","Travel                                            ")</f>
        <v xml:space="preserve">     Travel                                            </v>
      </c>
      <c r="C60" s="14"/>
      <c r="D60" s="1">
        <f>SUM(OSRRefD22_11x_0)</f>
        <v>0</v>
      </c>
      <c r="E60" s="1"/>
      <c r="F60" s="5">
        <f t="shared" si="24"/>
        <v>0</v>
      </c>
      <c r="G60" s="1"/>
      <c r="H60" s="1">
        <f>SUM(OSRRefH22_11x_0)</f>
        <v>0</v>
      </c>
      <c r="I60" s="1"/>
      <c r="J60" s="5">
        <f t="shared" si="25"/>
        <v>0</v>
      </c>
      <c r="K60" s="1"/>
      <c r="L60" s="1">
        <f t="shared" si="26"/>
        <v>0</v>
      </c>
      <c r="M60" s="1"/>
      <c r="N60" s="5">
        <f t="shared" si="27"/>
        <v>0</v>
      </c>
      <c r="O60" s="14"/>
      <c r="P60" s="1">
        <f>SUM(OSRRefP22_11x_0)</f>
        <v>17.100000000000001</v>
      </c>
      <c r="Q60" s="1"/>
      <c r="R60" s="5">
        <f t="shared" si="28"/>
        <v>0</v>
      </c>
      <c r="S60" s="1"/>
      <c r="T60" s="1">
        <f>SUM(OSRRefT22_11x_0)</f>
        <v>0</v>
      </c>
      <c r="U60" s="1"/>
      <c r="V60" s="5">
        <f t="shared" si="29"/>
        <v>0</v>
      </c>
      <c r="W60" s="1"/>
      <c r="X60" s="1">
        <f t="shared" si="30"/>
        <v>17.100000000000001</v>
      </c>
      <c r="Y60" s="1"/>
      <c r="Z60" s="5">
        <f t="shared" si="31"/>
        <v>0</v>
      </c>
    </row>
    <row r="61" spans="1:26" s="24" customFormat="1" hidden="1" outlineLevel="2" x14ac:dyDescent="0.3">
      <c r="A61" s="27"/>
      <c r="B61" s="11" t="str">
        <f>CONCATENATE("          ", "6294", " - ", "TRAVEL OPERATIONAL")</f>
        <v xml:space="preserve">          6294 - TRAVEL OPERATIONAL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17.100000000000001</v>
      </c>
      <c r="Q61" s="2"/>
      <c r="R61" s="7">
        <f t="shared" si="28"/>
        <v>0</v>
      </c>
      <c r="S61" s="2"/>
      <c r="T61" s="6"/>
      <c r="U61" s="2"/>
      <c r="V61" s="7">
        <f t="shared" si="29"/>
        <v>0</v>
      </c>
      <c r="W61" s="2"/>
      <c r="X61" s="6">
        <f t="shared" si="30"/>
        <v>17.100000000000001</v>
      </c>
      <c r="Y61" s="2"/>
      <c r="Z61" s="7">
        <f t="shared" si="31"/>
        <v>0</v>
      </c>
    </row>
    <row r="62" spans="1:26" s="53" customFormat="1" x14ac:dyDescent="0.3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3">
      <c r="A63" s="10"/>
      <c r="B63" s="25" t="s">
        <v>293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3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3">
      <c r="A65" s="10"/>
      <c r="B65" s="26" t="s">
        <v>277</v>
      </c>
      <c r="C65" s="26"/>
      <c r="D65" s="21">
        <f>+D16-D18+D63</f>
        <v>-40690.089999999997</v>
      </c>
      <c r="E65" s="13"/>
      <c r="F65" s="20">
        <f>IF(D$12=0,0,D65/D$12)</f>
        <v>0</v>
      </c>
      <c r="G65" s="13"/>
      <c r="H65" s="21">
        <f>+H16-H18+H63</f>
        <v>-35627.261144307668</v>
      </c>
      <c r="I65" s="13"/>
      <c r="J65" s="20">
        <f>IF(H$12=0,0,H65/H$12)</f>
        <v>0</v>
      </c>
      <c r="K65" s="16"/>
      <c r="L65" s="21">
        <f>+D65-H65</f>
        <v>-5062.8288556923289</v>
      </c>
      <c r="M65" s="16"/>
      <c r="N65" s="20">
        <f>IF(H65=0,0,L65/H65)</f>
        <v>0.14210547465844819</v>
      </c>
      <c r="O65" s="25"/>
      <c r="P65" s="21">
        <f>+P16-P18+P63</f>
        <v>-82291.450000000012</v>
      </c>
      <c r="Q65" s="13"/>
      <c r="R65" s="20">
        <f>IF(P$12=0,0,P65/P$12)</f>
        <v>0</v>
      </c>
      <c r="S65" s="13"/>
      <c r="T65" s="21">
        <f>+T16-T18+T63</f>
        <v>-77639.33757469221</v>
      </c>
      <c r="U65" s="13"/>
      <c r="V65" s="20">
        <f>IF(T$12=0,0,T65/T$12)</f>
        <v>0</v>
      </c>
      <c r="W65" s="16"/>
      <c r="X65" s="21">
        <f>+P65-T65</f>
        <v>-4652.1124253078015</v>
      </c>
      <c r="Y65" s="16"/>
      <c r="Z65" s="20">
        <f>IF(T65=0,0,X65/T65)</f>
        <v>5.9919527531160081E-2</v>
      </c>
    </row>
    <row r="66" spans="1:26" x14ac:dyDescent="0.3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3">
      <c r="A67" s="52"/>
      <c r="B67" s="10" t="s">
        <v>128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3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" thickBot="1" x14ac:dyDescent="0.35">
      <c r="A69" s="10"/>
      <c r="B69" s="26" t="s">
        <v>126</v>
      </c>
      <c r="C69" s="26"/>
      <c r="D69" s="30">
        <f>+D65-D67</f>
        <v>-40690.089999999997</v>
      </c>
      <c r="E69" s="13"/>
      <c r="F69" s="35">
        <f>IF(D$12=0,0,D69/D$12)</f>
        <v>0</v>
      </c>
      <c r="G69" s="13"/>
      <c r="H69" s="30">
        <f>+H65-H67</f>
        <v>-35627.261144307668</v>
      </c>
      <c r="I69" s="13"/>
      <c r="J69" s="35">
        <f>IF(H$12=0,0,H69/H$12)</f>
        <v>0</v>
      </c>
      <c r="K69" s="16"/>
      <c r="L69" s="30">
        <f>D69-H69</f>
        <v>-5062.8288556923289</v>
      </c>
      <c r="M69" s="16"/>
      <c r="N69" s="35">
        <f>IF(H69=0,0,L69/H69)</f>
        <v>0.14210547465844819</v>
      </c>
      <c r="O69" s="25"/>
      <c r="P69" s="30">
        <f>+P65-P67</f>
        <v>-82291.450000000012</v>
      </c>
      <c r="Q69" s="13"/>
      <c r="R69" s="35">
        <f>IF(P$12=0,0,P69/P$12)</f>
        <v>0</v>
      </c>
      <c r="S69" s="13"/>
      <c r="T69" s="30">
        <f>+T65-T67</f>
        <v>-77639.33757469221</v>
      </c>
      <c r="U69" s="13"/>
      <c r="V69" s="35">
        <f>IF(T$12=0,0,T69/T$12)</f>
        <v>0</v>
      </c>
      <c r="W69" s="16"/>
      <c r="X69" s="30">
        <f>P69-T69</f>
        <v>-4652.1124253078015</v>
      </c>
      <c r="Y69" s="16"/>
      <c r="Z69" s="35">
        <f>IF(T69=0,0,X69/T69)</f>
        <v>5.9919527531160081E-2</v>
      </c>
    </row>
    <row r="70" spans="1:26" ht="15" thickTop="1" x14ac:dyDescent="0.3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3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" thickBot="1" x14ac:dyDescent="0.35">
      <c r="A72" s="10"/>
      <c r="B72" s="26" t="s">
        <v>294</v>
      </c>
      <c r="C72" s="26"/>
      <c r="D72" s="32">
        <f>SUM(D69:D71)</f>
        <v>-40690.089999999997</v>
      </c>
      <c r="E72" s="13"/>
      <c r="F72" s="34">
        <f>IF(D$12=0,0,D72/D$12)</f>
        <v>0</v>
      </c>
      <c r="G72" s="13"/>
      <c r="H72" s="32">
        <f>SUM(H69:H71)</f>
        <v>-35627.261144307668</v>
      </c>
      <c r="I72" s="13"/>
      <c r="J72" s="34">
        <f>IF(H$12=0,0,H72/H$12)</f>
        <v>0</v>
      </c>
      <c r="K72" s="16"/>
      <c r="L72" s="32">
        <f>+D72-H72</f>
        <v>-5062.8288556923289</v>
      </c>
      <c r="M72" s="16"/>
      <c r="N72" s="34">
        <f>IF(H72=0,0,L72/H72)</f>
        <v>0.14210547465844819</v>
      </c>
      <c r="O72" s="25"/>
      <c r="P72" s="32">
        <f>SUM(P69:P71)</f>
        <v>-82291.450000000012</v>
      </c>
      <c r="Q72" s="13"/>
      <c r="R72" s="34">
        <f>IF(P$12=0,0,P72/P$12)</f>
        <v>0</v>
      </c>
      <c r="S72" s="13"/>
      <c r="T72" s="32">
        <f>SUM(T69:T71)</f>
        <v>-77639.33757469221</v>
      </c>
      <c r="U72" s="13"/>
      <c r="V72" s="34">
        <f>IF(T$12=0,0,T72/T$12)</f>
        <v>0</v>
      </c>
      <c r="W72" s="16"/>
      <c r="X72" s="32">
        <f>+P72-T72</f>
        <v>-4652.1124253078015</v>
      </c>
      <c r="Y72" s="16"/>
      <c r="Z72" s="34">
        <f>IF(T72=0,0,X72/T72)</f>
        <v>5.9919527531160081E-2</v>
      </c>
    </row>
    <row r="73" spans="1:26" ht="15" thickTop="1" x14ac:dyDescent="0.3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3">
      <c r="A74" s="9"/>
      <c r="B74" s="61">
        <v>44470.835499687499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3">
      <c r="A75" s="9"/>
      <c r="B75" s="58" t="s">
        <v>56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3">
      <c r="A76" s="9"/>
      <c r="B76" s="55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3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","203", " - ", "Human Resources")</f>
        <v>Department 203 - Human Resources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47897.97</v>
      </c>
      <c r="E18" s="22"/>
      <c r="F18" s="31">
        <f t="shared" ref="F18:F29" si="0">IF(D$12=0,0,D18/D$12)</f>
        <v>0</v>
      </c>
      <c r="G18" s="22"/>
      <c r="H18" s="22">
        <f>SUM(OSRRefH22x_0)</f>
        <v>46349.26516968615</v>
      </c>
      <c r="I18" s="22"/>
      <c r="J18" s="31">
        <f t="shared" ref="J18:J29" si="1">IF(H$12=0,0,H18/H$12)</f>
        <v>0</v>
      </c>
      <c r="K18" s="4"/>
      <c r="L18" s="22">
        <f t="shared" ref="L18:L29" si="2">+D18-H18</f>
        <v>1548.7048303138508</v>
      </c>
      <c r="M18" s="4"/>
      <c r="N18" s="31">
        <f t="shared" ref="N18:N29" si="3">IF(H18=0,0,L18/H18)</f>
        <v>3.3413794687876766E-2</v>
      </c>
      <c r="O18" s="10"/>
      <c r="P18" s="22">
        <f>SUM(OSRRefP22x_0)</f>
        <v>106528.35</v>
      </c>
      <c r="Q18" s="22"/>
      <c r="R18" s="31">
        <f t="shared" ref="R18:R29" si="4">IF(P$12=0,0,P18/P$12)</f>
        <v>0</v>
      </c>
      <c r="S18" s="22"/>
      <c r="T18" s="22">
        <f>SUM(OSRRefT22x_0)</f>
        <v>100592.0966317938</v>
      </c>
      <c r="U18" s="22"/>
      <c r="V18" s="31">
        <f t="shared" ref="V18:V29" si="5">IF(T$12=0,0,T18/T$12)</f>
        <v>0</v>
      </c>
      <c r="W18" s="4"/>
      <c r="X18" s="22">
        <f t="shared" ref="X18:X29" si="6">+P18-T18</f>
        <v>5936.2533682062058</v>
      </c>
      <c r="Y18" s="4"/>
      <c r="Z18" s="31">
        <f t="shared" ref="Z18:Z29" si="7">IF(T18=0,0,X18/T18)</f>
        <v>5.9013118992192817E-2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13739.57</v>
      </c>
      <c r="E19" s="1"/>
      <c r="F19" s="5">
        <f t="shared" si="0"/>
        <v>0</v>
      </c>
      <c r="G19" s="1"/>
      <c r="H19" s="1">
        <f>SUM(OSRRefH22_0x_0)</f>
        <v>11218.47940968615</v>
      </c>
      <c r="I19" s="1"/>
      <c r="J19" s="5">
        <f t="shared" si="1"/>
        <v>0</v>
      </c>
      <c r="K19" s="1"/>
      <c r="L19" s="1">
        <f t="shared" si="2"/>
        <v>2521.09059031385</v>
      </c>
      <c r="M19" s="1"/>
      <c r="N19" s="5">
        <f t="shared" si="3"/>
        <v>0.22472658711100496</v>
      </c>
      <c r="O19" s="14"/>
      <c r="P19" s="1">
        <f>SUM(OSRRefP22_0x_0)</f>
        <v>27158.27</v>
      </c>
      <c r="Q19" s="1"/>
      <c r="R19" s="5">
        <f t="shared" si="4"/>
        <v>0</v>
      </c>
      <c r="S19" s="1"/>
      <c r="T19" s="1">
        <f>SUM(OSRRefT22_0x_0)</f>
        <v>24468.078671793803</v>
      </c>
      <c r="U19" s="1"/>
      <c r="V19" s="5">
        <f t="shared" si="5"/>
        <v>0</v>
      </c>
      <c r="W19" s="1"/>
      <c r="X19" s="1">
        <f t="shared" si="6"/>
        <v>2690.1913282061978</v>
      </c>
      <c r="Y19" s="1"/>
      <c r="Z19" s="5">
        <f t="shared" si="7"/>
        <v>0.10994697884911511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2066.4499999999998</v>
      </c>
      <c r="E20" s="2"/>
      <c r="F20" s="7">
        <f t="shared" si="0"/>
        <v>0</v>
      </c>
      <c r="G20" s="2"/>
      <c r="H20" s="6">
        <v>1560.2483342400001</v>
      </c>
      <c r="I20" s="2"/>
      <c r="J20" s="7">
        <f t="shared" si="1"/>
        <v>0</v>
      </c>
      <c r="K20" s="2"/>
      <c r="L20" s="6">
        <f t="shared" si="2"/>
        <v>506.20166575999974</v>
      </c>
      <c r="M20" s="2"/>
      <c r="N20" s="7">
        <f t="shared" si="3"/>
        <v>0.32443660066881053</v>
      </c>
      <c r="O20" s="11"/>
      <c r="P20" s="6">
        <v>4183.58</v>
      </c>
      <c r="Q20" s="2"/>
      <c r="R20" s="7">
        <f t="shared" si="4"/>
        <v>0</v>
      </c>
      <c r="S20" s="2"/>
      <c r="T20" s="6">
        <v>3510.5587520399999</v>
      </c>
      <c r="U20" s="2"/>
      <c r="V20" s="7">
        <f t="shared" si="5"/>
        <v>0</v>
      </c>
      <c r="W20" s="2"/>
      <c r="X20" s="6">
        <f t="shared" si="6"/>
        <v>673.02124795999998</v>
      </c>
      <c r="Y20" s="2"/>
      <c r="Z20" s="7">
        <f t="shared" si="7"/>
        <v>0.19171342669280342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345.88</v>
      </c>
      <c r="E21" s="2"/>
      <c r="F21" s="7">
        <f t="shared" si="0"/>
        <v>0</v>
      </c>
      <c r="G21" s="2"/>
      <c r="H21" s="6">
        <v>81.800964800000003</v>
      </c>
      <c r="I21" s="2"/>
      <c r="J21" s="7">
        <f t="shared" si="1"/>
        <v>0</v>
      </c>
      <c r="K21" s="2"/>
      <c r="L21" s="6">
        <f t="shared" si="2"/>
        <v>264.07903520000002</v>
      </c>
      <c r="M21" s="2"/>
      <c r="N21" s="7">
        <f t="shared" si="3"/>
        <v>3.2283119868532406</v>
      </c>
      <c r="O21" s="11"/>
      <c r="P21" s="6">
        <v>701.76</v>
      </c>
      <c r="Q21" s="2"/>
      <c r="R21" s="7">
        <f t="shared" si="4"/>
        <v>0</v>
      </c>
      <c r="S21" s="2"/>
      <c r="T21" s="6">
        <v>184.0521708</v>
      </c>
      <c r="U21" s="2"/>
      <c r="V21" s="7">
        <f t="shared" si="5"/>
        <v>0</v>
      </c>
      <c r="W21" s="2"/>
      <c r="X21" s="6">
        <f t="shared" si="6"/>
        <v>517.70782919999999</v>
      </c>
      <c r="Y21" s="2"/>
      <c r="Z21" s="7">
        <f t="shared" si="7"/>
        <v>2.812831964707259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6048.94</v>
      </c>
      <c r="E22" s="2"/>
      <c r="F22" s="7">
        <f t="shared" si="0"/>
        <v>0</v>
      </c>
      <c r="G22" s="2"/>
      <c r="H22" s="6">
        <v>6238.8461538461497</v>
      </c>
      <c r="I22" s="2"/>
      <c r="J22" s="7">
        <f t="shared" si="1"/>
        <v>0</v>
      </c>
      <c r="K22" s="2"/>
      <c r="L22" s="6">
        <f t="shared" si="2"/>
        <v>-189.90615384615012</v>
      </c>
      <c r="M22" s="2"/>
      <c r="N22" s="7">
        <f t="shared" si="3"/>
        <v>-3.043930707108012E-2</v>
      </c>
      <c r="O22" s="11"/>
      <c r="P22" s="6">
        <v>12097.88</v>
      </c>
      <c r="Q22" s="2"/>
      <c r="R22" s="7">
        <f t="shared" si="4"/>
        <v>0</v>
      </c>
      <c r="S22" s="2"/>
      <c r="T22" s="6">
        <v>13543.1538461538</v>
      </c>
      <c r="U22" s="2"/>
      <c r="V22" s="7">
        <f t="shared" si="5"/>
        <v>0</v>
      </c>
      <c r="W22" s="2"/>
      <c r="X22" s="6">
        <f t="shared" si="6"/>
        <v>-1445.2738461538011</v>
      </c>
      <c r="Y22" s="2"/>
      <c r="Z22" s="7">
        <f t="shared" si="7"/>
        <v>-0.10671619495515462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69.709999999999994</v>
      </c>
      <c r="E23" s="2"/>
      <c r="F23" s="7">
        <f t="shared" si="0"/>
        <v>0</v>
      </c>
      <c r="G23" s="2"/>
      <c r="H23" s="6">
        <v>55.413556800000002</v>
      </c>
      <c r="I23" s="2"/>
      <c r="J23" s="7">
        <f t="shared" si="1"/>
        <v>0</v>
      </c>
      <c r="K23" s="2"/>
      <c r="L23" s="6">
        <f t="shared" si="2"/>
        <v>14.296443199999992</v>
      </c>
      <c r="M23" s="2"/>
      <c r="N23" s="7">
        <f t="shared" si="3"/>
        <v>0.25799540808396532</v>
      </c>
      <c r="O23" s="11"/>
      <c r="P23" s="6">
        <v>141.44</v>
      </c>
      <c r="Q23" s="2"/>
      <c r="R23" s="7">
        <f t="shared" si="4"/>
        <v>0</v>
      </c>
      <c r="S23" s="2"/>
      <c r="T23" s="6">
        <v>124.6805028</v>
      </c>
      <c r="U23" s="2"/>
      <c r="V23" s="7">
        <f t="shared" si="5"/>
        <v>0</v>
      </c>
      <c r="W23" s="2"/>
      <c r="X23" s="6">
        <f t="shared" si="6"/>
        <v>16.759497199999998</v>
      </c>
      <c r="Y23" s="2"/>
      <c r="Z23" s="7">
        <f t="shared" si="7"/>
        <v>0.13441955096125902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1238.02</v>
      </c>
      <c r="E24" s="2"/>
      <c r="F24" s="7">
        <f t="shared" si="0"/>
        <v>0</v>
      </c>
      <c r="G24" s="2"/>
      <c r="H24" s="6">
        <v>885.8</v>
      </c>
      <c r="I24" s="2"/>
      <c r="J24" s="7">
        <f t="shared" si="1"/>
        <v>0</v>
      </c>
      <c r="K24" s="2"/>
      <c r="L24" s="6">
        <f t="shared" si="2"/>
        <v>352.22</v>
      </c>
      <c r="M24" s="2"/>
      <c r="N24" s="7">
        <f t="shared" si="3"/>
        <v>0.3976292616843532</v>
      </c>
      <c r="O24" s="11"/>
      <c r="P24" s="6">
        <v>2476.04</v>
      </c>
      <c r="Q24" s="2"/>
      <c r="R24" s="7">
        <f t="shared" si="4"/>
        <v>0</v>
      </c>
      <c r="S24" s="2"/>
      <c r="T24" s="6">
        <v>1993.05</v>
      </c>
      <c r="U24" s="2"/>
      <c r="V24" s="7">
        <f t="shared" si="5"/>
        <v>0</v>
      </c>
      <c r="W24" s="2"/>
      <c r="X24" s="6">
        <f t="shared" si="6"/>
        <v>482.99</v>
      </c>
      <c r="Y24" s="2"/>
      <c r="Z24" s="7">
        <f t="shared" si="7"/>
        <v>0.2423371214972028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417</v>
      </c>
      <c r="I25" s="2"/>
      <c r="J25" s="7">
        <f t="shared" si="1"/>
        <v>0</v>
      </c>
      <c r="K25" s="2"/>
      <c r="L25" s="6">
        <f t="shared" si="2"/>
        <v>-417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834</v>
      </c>
      <c r="U25" s="2"/>
      <c r="V25" s="7">
        <f t="shared" si="5"/>
        <v>0</v>
      </c>
      <c r="W25" s="2"/>
      <c r="X25" s="6">
        <f t="shared" si="6"/>
        <v>-834</v>
      </c>
      <c r="Y25" s="2"/>
      <c r="Z25" s="7">
        <f t="shared" si="7"/>
        <v>-1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939.2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939.2</v>
      </c>
      <c r="M26" s="2"/>
      <c r="N26" s="7">
        <f t="shared" si="3"/>
        <v>0</v>
      </c>
      <c r="O26" s="11"/>
      <c r="P26" s="6">
        <v>1542.68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1542.68</v>
      </c>
      <c r="Y26" s="2"/>
      <c r="Z26" s="7">
        <f t="shared" si="7"/>
        <v>0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6">
        <v>1769.48</v>
      </c>
      <c r="E27" s="2"/>
      <c r="F27" s="7">
        <f t="shared" si="0"/>
        <v>0</v>
      </c>
      <c r="G27" s="2"/>
      <c r="H27" s="6">
        <v>731.62224000000003</v>
      </c>
      <c r="I27" s="2"/>
      <c r="J27" s="7">
        <f t="shared" si="1"/>
        <v>0</v>
      </c>
      <c r="K27" s="2"/>
      <c r="L27" s="6">
        <f t="shared" si="2"/>
        <v>1037.8577599999999</v>
      </c>
      <c r="M27" s="2"/>
      <c r="N27" s="7">
        <f t="shared" si="3"/>
        <v>1.4185705453677842</v>
      </c>
      <c r="O27" s="11"/>
      <c r="P27" s="6">
        <v>3538.96</v>
      </c>
      <c r="Q27" s="2"/>
      <c r="R27" s="7">
        <f t="shared" si="4"/>
        <v>0</v>
      </c>
      <c r="S27" s="2"/>
      <c r="T27" s="6">
        <v>1646.15004</v>
      </c>
      <c r="U27" s="2"/>
      <c r="V27" s="7">
        <f t="shared" si="5"/>
        <v>0</v>
      </c>
      <c r="W27" s="2"/>
      <c r="X27" s="6">
        <f t="shared" si="6"/>
        <v>1892.80996</v>
      </c>
      <c r="Y27" s="2"/>
      <c r="Z27" s="7">
        <f t="shared" si="7"/>
        <v>1.1498404847713639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6">
        <v>1161.08</v>
      </c>
      <c r="E28" s="2"/>
      <c r="F28" s="7">
        <f t="shared" si="0"/>
        <v>0</v>
      </c>
      <c r="G28" s="2"/>
      <c r="H28" s="6">
        <v>547.74815999999998</v>
      </c>
      <c r="I28" s="2"/>
      <c r="J28" s="7">
        <f t="shared" si="1"/>
        <v>0</v>
      </c>
      <c r="K28" s="2"/>
      <c r="L28" s="6">
        <f t="shared" si="2"/>
        <v>613.33183999999994</v>
      </c>
      <c r="M28" s="2"/>
      <c r="N28" s="7">
        <f t="shared" si="3"/>
        <v>1.1197332730428524</v>
      </c>
      <c r="O28" s="11"/>
      <c r="P28" s="6">
        <v>2322.16</v>
      </c>
      <c r="Q28" s="2"/>
      <c r="R28" s="7">
        <f t="shared" si="4"/>
        <v>0</v>
      </c>
      <c r="S28" s="2"/>
      <c r="T28" s="6">
        <v>1232.43336</v>
      </c>
      <c r="U28" s="2"/>
      <c r="V28" s="7">
        <f t="shared" si="5"/>
        <v>0</v>
      </c>
      <c r="W28" s="2"/>
      <c r="X28" s="6">
        <f t="shared" si="6"/>
        <v>1089.7266399999999</v>
      </c>
      <c r="Y28" s="2"/>
      <c r="Z28" s="7">
        <f t="shared" si="7"/>
        <v>0.88420735381586868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6">
        <v>100.81</v>
      </c>
      <c r="E29" s="2"/>
      <c r="F29" s="7">
        <f t="shared" si="0"/>
        <v>0</v>
      </c>
      <c r="G29" s="2"/>
      <c r="H29" s="6">
        <v>700</v>
      </c>
      <c r="I29" s="2"/>
      <c r="J29" s="7">
        <f t="shared" si="1"/>
        <v>0</v>
      </c>
      <c r="K29" s="2"/>
      <c r="L29" s="6">
        <f t="shared" si="2"/>
        <v>-599.19000000000005</v>
      </c>
      <c r="M29" s="2"/>
      <c r="N29" s="7">
        <f t="shared" si="3"/>
        <v>-0.85598571428571435</v>
      </c>
      <c r="O29" s="11"/>
      <c r="P29" s="6">
        <v>153.77000000000001</v>
      </c>
      <c r="Q29" s="2"/>
      <c r="R29" s="7">
        <f t="shared" si="4"/>
        <v>0</v>
      </c>
      <c r="S29" s="2"/>
      <c r="T29" s="6">
        <v>1400</v>
      </c>
      <c r="U29" s="2"/>
      <c r="V29" s="7">
        <f t="shared" si="5"/>
        <v>0</v>
      </c>
      <c r="W29" s="2"/>
      <c r="X29" s="6">
        <f t="shared" si="6"/>
        <v>-1246.23</v>
      </c>
      <c r="Y29" s="2"/>
      <c r="Z29" s="7">
        <f t="shared" si="7"/>
        <v>-0.89016428571428574</v>
      </c>
    </row>
    <row r="30" spans="1:26" s="28" customFormat="1" outlineLevel="1" collapsed="1" x14ac:dyDescent="0.3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26368.9</v>
      </c>
      <c r="E30" s="1"/>
      <c r="F30" s="5">
        <f t="shared" ref="F30:F40" si="8">IF(D$12=0,0,D30/D$12)</f>
        <v>0</v>
      </c>
      <c r="G30" s="1"/>
      <c r="H30" s="1">
        <f>SUM(OSRRefH22_1x_0)</f>
        <v>23449.785759999999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2919.1142400000026</v>
      </c>
      <c r="M30" s="1"/>
      <c r="N30" s="5">
        <f t="shared" ref="N30:N40" si="11">IF(H30=0,0,L30/H30)</f>
        <v>0.1244836208686967</v>
      </c>
      <c r="O30" s="14"/>
      <c r="P30" s="1">
        <f>SUM(OSRRefP22_1x_0)</f>
        <v>58525.240000000005</v>
      </c>
      <c r="Q30" s="1"/>
      <c r="R30" s="5">
        <f t="shared" ref="R30:R40" si="12">IF(P$12=0,0,P30/P$12)</f>
        <v>0</v>
      </c>
      <c r="S30" s="1"/>
      <c r="T30" s="1">
        <f>SUM(OSRRefT22_1x_0)</f>
        <v>52762.017959999997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5763.2220400000078</v>
      </c>
      <c r="Y30" s="1"/>
      <c r="Z30" s="5">
        <f t="shared" ref="Z30:Z40" si="15">IF(T30=0,0,X30/T30)</f>
        <v>0.1092305082866472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11378.88</v>
      </c>
      <c r="E31" s="2"/>
      <c r="F31" s="7">
        <f t="shared" si="8"/>
        <v>0</v>
      </c>
      <c r="G31" s="2"/>
      <c r="H31" s="6">
        <v>9785</v>
      </c>
      <c r="I31" s="2"/>
      <c r="J31" s="7">
        <f t="shared" si="9"/>
        <v>0</v>
      </c>
      <c r="K31" s="2"/>
      <c r="L31" s="6">
        <f t="shared" si="10"/>
        <v>1593.8799999999992</v>
      </c>
      <c r="M31" s="2"/>
      <c r="N31" s="7">
        <f t="shared" si="11"/>
        <v>0.16289013796627483</v>
      </c>
      <c r="O31" s="11"/>
      <c r="P31" s="6">
        <v>24464.880000000001</v>
      </c>
      <c r="Q31" s="2"/>
      <c r="R31" s="7">
        <f t="shared" si="12"/>
        <v>0</v>
      </c>
      <c r="S31" s="2"/>
      <c r="T31" s="6">
        <v>22016.25</v>
      </c>
      <c r="U31" s="2"/>
      <c r="V31" s="7">
        <f t="shared" si="13"/>
        <v>0</v>
      </c>
      <c r="W31" s="2"/>
      <c r="X31" s="6">
        <f t="shared" si="14"/>
        <v>2448.630000000001</v>
      </c>
      <c r="Y31" s="2"/>
      <c r="Z31" s="7">
        <f t="shared" si="15"/>
        <v>0.11121921308124685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6">
        <v>14290.77</v>
      </c>
      <c r="E34" s="2"/>
      <c r="F34" s="7">
        <f t="shared" si="8"/>
        <v>0</v>
      </c>
      <c r="G34" s="2"/>
      <c r="H34" s="6">
        <v>9784.7857600000007</v>
      </c>
      <c r="I34" s="2"/>
      <c r="J34" s="7">
        <f t="shared" si="9"/>
        <v>0</v>
      </c>
      <c r="K34" s="2"/>
      <c r="L34" s="6">
        <f t="shared" si="10"/>
        <v>4505.9842399999998</v>
      </c>
      <c r="M34" s="2"/>
      <c r="N34" s="7">
        <f t="shared" si="11"/>
        <v>0.46050923857938403</v>
      </c>
      <c r="O34" s="11"/>
      <c r="P34" s="6">
        <v>27497.11</v>
      </c>
      <c r="Q34" s="2"/>
      <c r="R34" s="7">
        <f t="shared" si="12"/>
        <v>0</v>
      </c>
      <c r="S34" s="2"/>
      <c r="T34" s="6">
        <v>22015.767960000001</v>
      </c>
      <c r="U34" s="2"/>
      <c r="V34" s="7">
        <f t="shared" si="13"/>
        <v>0</v>
      </c>
      <c r="W34" s="2"/>
      <c r="X34" s="6">
        <f t="shared" si="14"/>
        <v>5481.3420399999995</v>
      </c>
      <c r="Y34" s="2"/>
      <c r="Z34" s="7">
        <f t="shared" si="15"/>
        <v>0.24897346528901185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974.25</v>
      </c>
      <c r="E35" s="2"/>
      <c r="F35" s="7">
        <f t="shared" si="8"/>
        <v>0</v>
      </c>
      <c r="G35" s="2"/>
      <c r="H35" s="6">
        <v>3880</v>
      </c>
      <c r="I35" s="2"/>
      <c r="J35" s="7">
        <f t="shared" si="9"/>
        <v>0</v>
      </c>
      <c r="K35" s="2"/>
      <c r="L35" s="6">
        <f t="shared" si="10"/>
        <v>-2905.75</v>
      </c>
      <c r="M35" s="2"/>
      <c r="N35" s="7">
        <f t="shared" si="11"/>
        <v>-0.74890463917525774</v>
      </c>
      <c r="O35" s="11"/>
      <c r="P35" s="6">
        <v>3001.25</v>
      </c>
      <c r="Q35" s="2"/>
      <c r="R35" s="7">
        <f t="shared" si="12"/>
        <v>0</v>
      </c>
      <c r="S35" s="2"/>
      <c r="T35" s="6">
        <v>8730</v>
      </c>
      <c r="U35" s="2"/>
      <c r="V35" s="7">
        <f t="shared" si="13"/>
        <v>0</v>
      </c>
      <c r="W35" s="2"/>
      <c r="X35" s="6">
        <f t="shared" si="14"/>
        <v>-5728.75</v>
      </c>
      <c r="Y35" s="2"/>
      <c r="Z35" s="7">
        <f t="shared" si="15"/>
        <v>-0.65621420389461627</v>
      </c>
    </row>
    <row r="36" spans="1:26" s="24" customFormat="1" hidden="1" outlineLevel="2" x14ac:dyDescent="0.3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"6007", " - ", "STUDENT HOURLY")</f>
        <v xml:space="preserve">          6007 - STUDENT HOURLY</v>
      </c>
      <c r="C37" s="11"/>
      <c r="D37" s="6">
        <v>-275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-275</v>
      </c>
      <c r="M37" s="2"/>
      <c r="N37" s="7">
        <f t="shared" si="11"/>
        <v>0</v>
      </c>
      <c r="O37" s="11"/>
      <c r="P37" s="6">
        <v>3562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3562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3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8" customFormat="1" outlineLevel="1" collapsed="1" x14ac:dyDescent="0.3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6" si="16">IF(D$12=0,0,D41/D$12)</f>
        <v>0</v>
      </c>
      <c r="G41" s="1"/>
      <c r="H41" s="1">
        <f>SUM(OSRRefH22_2x_0)</f>
        <v>150</v>
      </c>
      <c r="I41" s="1"/>
      <c r="J41" s="5">
        <f t="shared" ref="J41:J56" si="17">IF(H$12=0,0,H41/H$12)</f>
        <v>0</v>
      </c>
      <c r="K41" s="1"/>
      <c r="L41" s="1">
        <f t="shared" ref="L41:L56" si="18">+D41-H41</f>
        <v>-150</v>
      </c>
      <c r="M41" s="1"/>
      <c r="N41" s="5">
        <f t="shared" ref="N41:N56" si="19">IF(H41=0,0,L41/H41)</f>
        <v>-1</v>
      </c>
      <c r="O41" s="14"/>
      <c r="P41" s="1">
        <f>SUM(OSRRefP22_2x_0)</f>
        <v>0</v>
      </c>
      <c r="Q41" s="1"/>
      <c r="R41" s="5">
        <f t="shared" ref="R41:R56" si="20">IF(P$12=0,0,P41/P$12)</f>
        <v>0</v>
      </c>
      <c r="S41" s="1"/>
      <c r="T41" s="1">
        <f>SUM(OSRRefT22_2x_0)</f>
        <v>300</v>
      </c>
      <c r="U41" s="1"/>
      <c r="V41" s="5">
        <f t="shared" ref="V41:V56" si="21">IF(T$12=0,0,T41/T$12)</f>
        <v>0</v>
      </c>
      <c r="W41" s="1"/>
      <c r="X41" s="1">
        <f t="shared" ref="X41:X56" si="22">+P41-T41</f>
        <v>-300</v>
      </c>
      <c r="Y41" s="1"/>
      <c r="Z41" s="5">
        <f t="shared" ref="Z41:Z56" si="23">IF(T41=0,0,X41/T41)</f>
        <v>-1</v>
      </c>
    </row>
    <row r="42" spans="1:26" s="24" customFormat="1" hidden="1" outlineLevel="2" x14ac:dyDescent="0.3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150</v>
      </c>
      <c r="I42" s="2"/>
      <c r="J42" s="7">
        <f t="shared" si="17"/>
        <v>0</v>
      </c>
      <c r="K42" s="2"/>
      <c r="L42" s="6">
        <f t="shared" si="18"/>
        <v>-150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300</v>
      </c>
      <c r="U42" s="2"/>
      <c r="V42" s="7">
        <f t="shared" si="21"/>
        <v>0</v>
      </c>
      <c r="W42" s="2"/>
      <c r="X42" s="6">
        <f t="shared" si="22"/>
        <v>-300</v>
      </c>
      <c r="Y42" s="2"/>
      <c r="Z42" s="7">
        <f t="shared" si="23"/>
        <v>-1</v>
      </c>
    </row>
    <row r="43" spans="1:26" s="28" customFormat="1" outlineLevel="1" collapsed="1" x14ac:dyDescent="0.3">
      <c r="A43" s="29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250</v>
      </c>
      <c r="I43" s="1"/>
      <c r="J43" s="5">
        <f t="shared" si="17"/>
        <v>0</v>
      </c>
      <c r="K43" s="1"/>
      <c r="L43" s="1">
        <f t="shared" si="18"/>
        <v>-250</v>
      </c>
      <c r="M43" s="1"/>
      <c r="N43" s="5">
        <f t="shared" si="19"/>
        <v>-1</v>
      </c>
      <c r="O43" s="14"/>
      <c r="P43" s="1">
        <f>SUM(OSRRefP22_3x_0)</f>
        <v>0</v>
      </c>
      <c r="Q43" s="1"/>
      <c r="R43" s="5">
        <f t="shared" si="20"/>
        <v>0</v>
      </c>
      <c r="S43" s="1"/>
      <c r="T43" s="1">
        <f>SUM(OSRRefT22_3x_0)</f>
        <v>500</v>
      </c>
      <c r="U43" s="1"/>
      <c r="V43" s="5">
        <f t="shared" si="21"/>
        <v>0</v>
      </c>
      <c r="W43" s="1"/>
      <c r="X43" s="1">
        <f t="shared" si="22"/>
        <v>-500</v>
      </c>
      <c r="Y43" s="1"/>
      <c r="Z43" s="5">
        <f t="shared" si="23"/>
        <v>-1</v>
      </c>
    </row>
    <row r="44" spans="1:26" s="24" customFormat="1" hidden="1" outlineLevel="2" x14ac:dyDescent="0.3">
      <c r="A44" s="27"/>
      <c r="B44" s="11" t="str">
        <f>CONCATENATE("          ", "6277", " - ", "EMPLOYEE APPRECIATION")</f>
        <v xml:space="preserve">          6277 - EMPLOYEE APPRECIATION</v>
      </c>
      <c r="C44" s="11"/>
      <c r="D44" s="6"/>
      <c r="E44" s="2"/>
      <c r="F44" s="7">
        <f t="shared" si="16"/>
        <v>0</v>
      </c>
      <c r="G44" s="2"/>
      <c r="H44" s="6">
        <v>250</v>
      </c>
      <c r="I44" s="2"/>
      <c r="J44" s="7">
        <f t="shared" si="17"/>
        <v>0</v>
      </c>
      <c r="K44" s="2"/>
      <c r="L44" s="6">
        <f t="shared" si="18"/>
        <v>-250</v>
      </c>
      <c r="M44" s="2"/>
      <c r="N44" s="7">
        <f t="shared" si="19"/>
        <v>-1</v>
      </c>
      <c r="O44" s="11"/>
      <c r="P44" s="6"/>
      <c r="Q44" s="2"/>
      <c r="R44" s="7">
        <f t="shared" si="20"/>
        <v>0</v>
      </c>
      <c r="S44" s="2"/>
      <c r="T44" s="6">
        <v>500</v>
      </c>
      <c r="U44" s="2"/>
      <c r="V44" s="7">
        <f t="shared" si="21"/>
        <v>0</v>
      </c>
      <c r="W44" s="2"/>
      <c r="X44" s="6">
        <f t="shared" si="22"/>
        <v>-500</v>
      </c>
      <c r="Y44" s="2"/>
      <c r="Z44" s="7">
        <f t="shared" si="23"/>
        <v>-1</v>
      </c>
    </row>
    <row r="45" spans="1:26" s="28" customFormat="1" outlineLevel="1" collapsed="1" x14ac:dyDescent="0.3">
      <c r="A45" s="29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75</v>
      </c>
      <c r="I45" s="1"/>
      <c r="J45" s="5">
        <f t="shared" si="17"/>
        <v>0</v>
      </c>
      <c r="K45" s="1"/>
      <c r="L45" s="1">
        <f t="shared" si="18"/>
        <v>-75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150</v>
      </c>
      <c r="U45" s="1"/>
      <c r="V45" s="5">
        <f t="shared" si="21"/>
        <v>0</v>
      </c>
      <c r="W45" s="1"/>
      <c r="X45" s="1">
        <f t="shared" si="22"/>
        <v>-150</v>
      </c>
      <c r="Y45" s="1"/>
      <c r="Z45" s="5">
        <f t="shared" si="23"/>
        <v>-1</v>
      </c>
    </row>
    <row r="46" spans="1:26" s="24" customFormat="1" hidden="1" outlineLevel="2" x14ac:dyDescent="0.3">
      <c r="A46" s="27"/>
      <c r="B46" s="11" t="str">
        <f>CONCATENATE("          ", "6351", " - ", "EQUIPMENT RENTAL")</f>
        <v xml:space="preserve">          6351 - EQUIPMENT RENTAL</v>
      </c>
      <c r="C46" s="11"/>
      <c r="D46" s="6"/>
      <c r="E46" s="2"/>
      <c r="F46" s="7">
        <f t="shared" si="16"/>
        <v>0</v>
      </c>
      <c r="G46" s="2"/>
      <c r="H46" s="6">
        <v>75</v>
      </c>
      <c r="I46" s="2"/>
      <c r="J46" s="7">
        <f t="shared" si="17"/>
        <v>0</v>
      </c>
      <c r="K46" s="2"/>
      <c r="L46" s="6">
        <f t="shared" si="18"/>
        <v>-75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150</v>
      </c>
      <c r="U46" s="2"/>
      <c r="V46" s="7">
        <f t="shared" si="21"/>
        <v>0</v>
      </c>
      <c r="W46" s="2"/>
      <c r="X46" s="6">
        <f t="shared" si="22"/>
        <v>-150</v>
      </c>
      <c r="Y46" s="2"/>
      <c r="Z46" s="7">
        <f t="shared" si="23"/>
        <v>-1</v>
      </c>
    </row>
    <row r="47" spans="1:26" s="28" customFormat="1" outlineLevel="1" collapsed="1" x14ac:dyDescent="0.3">
      <c r="A47" s="29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74.53</v>
      </c>
      <c r="E47" s="1"/>
      <c r="F47" s="5">
        <f t="shared" si="16"/>
        <v>0</v>
      </c>
      <c r="G47" s="1"/>
      <c r="H47" s="1">
        <f>SUM(OSRRefH22_5x_0)</f>
        <v>0</v>
      </c>
      <c r="I47" s="1"/>
      <c r="J47" s="5">
        <f t="shared" si="17"/>
        <v>0</v>
      </c>
      <c r="K47" s="1"/>
      <c r="L47" s="1">
        <f t="shared" si="18"/>
        <v>74.53</v>
      </c>
      <c r="M47" s="1"/>
      <c r="N47" s="5">
        <f t="shared" si="19"/>
        <v>0</v>
      </c>
      <c r="O47" s="14"/>
      <c r="P47" s="1">
        <f>SUM(OSRRefP22_5x_0)</f>
        <v>76.260000000000005</v>
      </c>
      <c r="Q47" s="1"/>
      <c r="R47" s="5">
        <f t="shared" si="20"/>
        <v>0</v>
      </c>
      <c r="S47" s="1"/>
      <c r="T47" s="1">
        <f>SUM(OSRRefT22_5x_0)</f>
        <v>0</v>
      </c>
      <c r="U47" s="1"/>
      <c r="V47" s="5">
        <f t="shared" si="21"/>
        <v>0</v>
      </c>
      <c r="W47" s="1"/>
      <c r="X47" s="1">
        <f t="shared" si="22"/>
        <v>76.260000000000005</v>
      </c>
      <c r="Y47" s="1"/>
      <c r="Z47" s="5">
        <f t="shared" si="23"/>
        <v>0</v>
      </c>
    </row>
    <row r="48" spans="1:26" s="24" customFormat="1" hidden="1" outlineLevel="2" x14ac:dyDescent="0.3">
      <c r="A48" s="27"/>
      <c r="B48" s="11" t="str">
        <f>CONCATENATE("          ", "6307", " - ", "POSTAGE")</f>
        <v xml:space="preserve">          6307 - POSTAGE</v>
      </c>
      <c r="C48" s="11"/>
      <c r="D48" s="6">
        <v>74.53</v>
      </c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74.53</v>
      </c>
      <c r="M48" s="2"/>
      <c r="N48" s="7">
        <f t="shared" si="19"/>
        <v>0</v>
      </c>
      <c r="O48" s="11"/>
      <c r="P48" s="6">
        <v>76.260000000000005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76.260000000000005</v>
      </c>
      <c r="Y48" s="2"/>
      <c r="Z48" s="7">
        <f t="shared" si="23"/>
        <v>0</v>
      </c>
    </row>
    <row r="49" spans="1:26" s="28" customFormat="1" outlineLevel="1" collapsed="1" x14ac:dyDescent="0.3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200.5</v>
      </c>
      <c r="E49" s="1"/>
      <c r="F49" s="5">
        <f t="shared" si="16"/>
        <v>0</v>
      </c>
      <c r="G49" s="1"/>
      <c r="H49" s="1">
        <f>SUM(OSRRefH22_6x_0)</f>
        <v>0</v>
      </c>
      <c r="I49" s="1"/>
      <c r="J49" s="5">
        <f t="shared" si="17"/>
        <v>0</v>
      </c>
      <c r="K49" s="1"/>
      <c r="L49" s="1">
        <f t="shared" si="18"/>
        <v>200.5</v>
      </c>
      <c r="M49" s="1"/>
      <c r="N49" s="5">
        <f t="shared" si="19"/>
        <v>0</v>
      </c>
      <c r="O49" s="14"/>
      <c r="P49" s="1">
        <f>SUM(OSRRefP22_6x_0)</f>
        <v>1230</v>
      </c>
      <c r="Q49" s="1"/>
      <c r="R49" s="5">
        <f t="shared" si="20"/>
        <v>0</v>
      </c>
      <c r="S49" s="1"/>
      <c r="T49" s="1">
        <f>SUM(OSRRefT22_6x_0)</f>
        <v>0</v>
      </c>
      <c r="U49" s="1"/>
      <c r="V49" s="5">
        <f t="shared" si="21"/>
        <v>0</v>
      </c>
      <c r="W49" s="1"/>
      <c r="X49" s="1">
        <f t="shared" si="22"/>
        <v>1230</v>
      </c>
      <c r="Y49" s="1"/>
      <c r="Z49" s="5">
        <f t="shared" si="23"/>
        <v>0</v>
      </c>
    </row>
    <row r="50" spans="1:26" s="24" customFormat="1" hidden="1" outlineLevel="2" x14ac:dyDescent="0.3">
      <c r="A50" s="27"/>
      <c r="B50" s="11" t="str">
        <f>CONCATENATE("          ", "6279", " - ", "GENERAL EXPENSE")</f>
        <v xml:space="preserve">          6279 - GENERAL EXPENSE</v>
      </c>
      <c r="C50" s="11"/>
      <c r="D50" s="6">
        <v>200.5</v>
      </c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200.5</v>
      </c>
      <c r="M50" s="2"/>
      <c r="N50" s="7">
        <f t="shared" si="19"/>
        <v>0</v>
      </c>
      <c r="O50" s="11"/>
      <c r="P50" s="6">
        <v>1230</v>
      </c>
      <c r="Q50" s="2"/>
      <c r="R50" s="7">
        <f t="shared" si="20"/>
        <v>0</v>
      </c>
      <c r="S50" s="2"/>
      <c r="T50" s="6"/>
      <c r="U50" s="2"/>
      <c r="V50" s="7">
        <f t="shared" si="21"/>
        <v>0</v>
      </c>
      <c r="W50" s="2"/>
      <c r="X50" s="6">
        <f t="shared" si="22"/>
        <v>1230</v>
      </c>
      <c r="Y50" s="2"/>
      <c r="Z50" s="7">
        <f t="shared" si="23"/>
        <v>0</v>
      </c>
    </row>
    <row r="51" spans="1:26" s="28" customFormat="1" outlineLevel="1" collapsed="1" x14ac:dyDescent="0.3">
      <c r="A51" s="29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88.99</v>
      </c>
      <c r="E51" s="1"/>
      <c r="F51" s="5">
        <f t="shared" si="16"/>
        <v>0</v>
      </c>
      <c r="G51" s="1"/>
      <c r="H51" s="1">
        <f>SUM(OSRRefH22_7x_0)</f>
        <v>90</v>
      </c>
      <c r="I51" s="1"/>
      <c r="J51" s="5">
        <f t="shared" si="17"/>
        <v>0</v>
      </c>
      <c r="K51" s="1"/>
      <c r="L51" s="1">
        <f t="shared" si="18"/>
        <v>-1.0100000000000051</v>
      </c>
      <c r="M51" s="1"/>
      <c r="N51" s="5">
        <f t="shared" si="19"/>
        <v>-1.1222222222222279E-2</v>
      </c>
      <c r="O51" s="14"/>
      <c r="P51" s="1">
        <f>SUM(OSRRefP22_7x_0)</f>
        <v>177.98</v>
      </c>
      <c r="Q51" s="1"/>
      <c r="R51" s="5">
        <f t="shared" si="20"/>
        <v>0</v>
      </c>
      <c r="S51" s="1"/>
      <c r="T51" s="1">
        <f>SUM(OSRRefT22_7x_0)</f>
        <v>180</v>
      </c>
      <c r="U51" s="1"/>
      <c r="V51" s="5">
        <f t="shared" si="21"/>
        <v>0</v>
      </c>
      <c r="W51" s="1"/>
      <c r="X51" s="1">
        <f t="shared" si="22"/>
        <v>-2.0200000000000102</v>
      </c>
      <c r="Y51" s="1"/>
      <c r="Z51" s="5">
        <f t="shared" si="23"/>
        <v>-1.1222222222222279E-2</v>
      </c>
    </row>
    <row r="52" spans="1:26" s="24" customFormat="1" hidden="1" outlineLevel="2" x14ac:dyDescent="0.3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88.99</v>
      </c>
      <c r="E52" s="2"/>
      <c r="F52" s="7">
        <f t="shared" si="16"/>
        <v>0</v>
      </c>
      <c r="G52" s="2"/>
      <c r="H52" s="6">
        <v>90</v>
      </c>
      <c r="I52" s="2"/>
      <c r="J52" s="7">
        <f t="shared" si="17"/>
        <v>0</v>
      </c>
      <c r="K52" s="2"/>
      <c r="L52" s="6">
        <f t="shared" si="18"/>
        <v>-1.0100000000000051</v>
      </c>
      <c r="M52" s="2"/>
      <c r="N52" s="7">
        <f t="shared" si="19"/>
        <v>-1.1222222222222279E-2</v>
      </c>
      <c r="O52" s="11"/>
      <c r="P52" s="6">
        <v>177.98</v>
      </c>
      <c r="Q52" s="2"/>
      <c r="R52" s="7">
        <f t="shared" si="20"/>
        <v>0</v>
      </c>
      <c r="S52" s="2"/>
      <c r="T52" s="6">
        <v>180</v>
      </c>
      <c r="U52" s="2"/>
      <c r="V52" s="7">
        <f t="shared" si="21"/>
        <v>0</v>
      </c>
      <c r="W52" s="2"/>
      <c r="X52" s="6">
        <f t="shared" si="22"/>
        <v>-2.0200000000000102</v>
      </c>
      <c r="Y52" s="2"/>
      <c r="Z52" s="7">
        <f t="shared" si="23"/>
        <v>-1.1222222222222279E-2</v>
      </c>
    </row>
    <row r="53" spans="1:26" s="28" customFormat="1" outlineLevel="1" collapsed="1" x14ac:dyDescent="0.3">
      <c r="A53" s="29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0</v>
      </c>
      <c r="E53" s="1"/>
      <c r="F53" s="5">
        <f t="shared" si="16"/>
        <v>0</v>
      </c>
      <c r="G53" s="1"/>
      <c r="H53" s="1">
        <f>SUM(OSRRefH22_8x_0)</f>
        <v>1666</v>
      </c>
      <c r="I53" s="1"/>
      <c r="J53" s="5">
        <f t="shared" si="17"/>
        <v>0</v>
      </c>
      <c r="K53" s="1"/>
      <c r="L53" s="1">
        <f t="shared" si="18"/>
        <v>-1666</v>
      </c>
      <c r="M53" s="1"/>
      <c r="N53" s="5">
        <f t="shared" si="19"/>
        <v>-1</v>
      </c>
      <c r="O53" s="14"/>
      <c r="P53" s="1">
        <f>SUM(OSRRefP22_8x_0)</f>
        <v>4950</v>
      </c>
      <c r="Q53" s="1"/>
      <c r="R53" s="5">
        <f t="shared" si="20"/>
        <v>0</v>
      </c>
      <c r="S53" s="1"/>
      <c r="T53" s="1">
        <f>SUM(OSRRefT22_8x_0)</f>
        <v>3332</v>
      </c>
      <c r="U53" s="1"/>
      <c r="V53" s="5">
        <f t="shared" si="21"/>
        <v>0</v>
      </c>
      <c r="W53" s="1"/>
      <c r="X53" s="1">
        <f t="shared" si="22"/>
        <v>1618</v>
      </c>
      <c r="Y53" s="1"/>
      <c r="Z53" s="5">
        <f t="shared" si="23"/>
        <v>0.48559423769507803</v>
      </c>
    </row>
    <row r="54" spans="1:26" s="24" customFormat="1" hidden="1" outlineLevel="2" x14ac:dyDescent="0.3">
      <c r="A54" s="27"/>
      <c r="B54" s="11" t="str">
        <f>CONCATENATE("          ", "6332", " - ", "CONSULTANT FEES")</f>
        <v xml:space="preserve">          6332 - CONSULTANT FEES</v>
      </c>
      <c r="C54" s="11"/>
      <c r="D54" s="6"/>
      <c r="E54" s="2"/>
      <c r="F54" s="7">
        <f t="shared" si="16"/>
        <v>0</v>
      </c>
      <c r="G54" s="2"/>
      <c r="H54" s="6">
        <v>0</v>
      </c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/>
      <c r="Q54" s="2"/>
      <c r="R54" s="7">
        <f t="shared" si="20"/>
        <v>0</v>
      </c>
      <c r="S54" s="2"/>
      <c r="T54" s="6">
        <v>0</v>
      </c>
      <c r="U54" s="2"/>
      <c r="V54" s="7">
        <f t="shared" si="21"/>
        <v>0</v>
      </c>
      <c r="W54" s="2"/>
      <c r="X54" s="6">
        <f t="shared" si="22"/>
        <v>0</v>
      </c>
      <c r="Y54" s="2"/>
      <c r="Z54" s="7">
        <f t="shared" si="23"/>
        <v>0</v>
      </c>
    </row>
    <row r="55" spans="1:26" s="24" customFormat="1" hidden="1" outlineLevel="2" x14ac:dyDescent="0.3">
      <c r="A55" s="27"/>
      <c r="B55" s="11" t="str">
        <f>CONCATENATE("          ", "6334", " - ", "LEGAL COUNCIL EXPENSE")</f>
        <v xml:space="preserve">          6334 - LEGAL COUNCIL EXPENSE</v>
      </c>
      <c r="C55" s="11"/>
      <c r="D55" s="6"/>
      <c r="E55" s="2"/>
      <c r="F55" s="7">
        <f t="shared" si="16"/>
        <v>0</v>
      </c>
      <c r="G55" s="2"/>
      <c r="H55" s="6">
        <v>833</v>
      </c>
      <c r="I55" s="2"/>
      <c r="J55" s="7">
        <f t="shared" si="17"/>
        <v>0</v>
      </c>
      <c r="K55" s="2"/>
      <c r="L55" s="6">
        <f t="shared" si="18"/>
        <v>-833</v>
      </c>
      <c r="M55" s="2"/>
      <c r="N55" s="7">
        <f t="shared" si="19"/>
        <v>-1</v>
      </c>
      <c r="O55" s="11"/>
      <c r="P55" s="6">
        <v>3255</v>
      </c>
      <c r="Q55" s="2"/>
      <c r="R55" s="7">
        <f t="shared" si="20"/>
        <v>0</v>
      </c>
      <c r="S55" s="2"/>
      <c r="T55" s="6">
        <v>1666</v>
      </c>
      <c r="U55" s="2"/>
      <c r="V55" s="7">
        <f t="shared" si="21"/>
        <v>0</v>
      </c>
      <c r="W55" s="2"/>
      <c r="X55" s="6">
        <f t="shared" si="22"/>
        <v>1589</v>
      </c>
      <c r="Y55" s="2"/>
      <c r="Z55" s="7">
        <f t="shared" si="23"/>
        <v>0.95378151260504207</v>
      </c>
    </row>
    <row r="56" spans="1:26" s="24" customFormat="1" hidden="1" outlineLevel="2" x14ac:dyDescent="0.3">
      <c r="A56" s="27"/>
      <c r="B56" s="11" t="str">
        <f>CONCATENATE("          ", "6336", " - ", "PROFESSIONAL SERVICES")</f>
        <v xml:space="preserve">          6336 - PROFESSIONAL SERVICES</v>
      </c>
      <c r="C56" s="11"/>
      <c r="D56" s="6"/>
      <c r="E56" s="2"/>
      <c r="F56" s="7">
        <f t="shared" si="16"/>
        <v>0</v>
      </c>
      <c r="G56" s="2"/>
      <c r="H56" s="6">
        <v>833</v>
      </c>
      <c r="I56" s="2"/>
      <c r="J56" s="7">
        <f t="shared" si="17"/>
        <v>0</v>
      </c>
      <c r="K56" s="2"/>
      <c r="L56" s="6">
        <f t="shared" si="18"/>
        <v>-833</v>
      </c>
      <c r="M56" s="2"/>
      <c r="N56" s="7">
        <f t="shared" si="19"/>
        <v>-1</v>
      </c>
      <c r="O56" s="11"/>
      <c r="P56" s="6">
        <v>1695</v>
      </c>
      <c r="Q56" s="2"/>
      <c r="R56" s="7">
        <f t="shared" si="20"/>
        <v>0</v>
      </c>
      <c r="S56" s="2"/>
      <c r="T56" s="6">
        <v>1666</v>
      </c>
      <c r="U56" s="2"/>
      <c r="V56" s="7">
        <f t="shared" si="21"/>
        <v>0</v>
      </c>
      <c r="W56" s="2"/>
      <c r="X56" s="6">
        <f t="shared" si="22"/>
        <v>29</v>
      </c>
      <c r="Y56" s="2"/>
      <c r="Z56" s="7">
        <f t="shared" si="23"/>
        <v>1.7406962785114045E-2</v>
      </c>
    </row>
    <row r="57" spans="1:26" s="28" customFormat="1" outlineLevel="1" collapsed="1" x14ac:dyDescent="0.3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5273.52</v>
      </c>
      <c r="E57" s="1"/>
      <c r="F57" s="5">
        <f t="shared" ref="F57:F59" si="24">IF(D$12=0,0,D57/D$12)</f>
        <v>0</v>
      </c>
      <c r="G57" s="1"/>
      <c r="H57" s="1">
        <f>SUM(OSRRefH22_9x_0)</f>
        <v>7000</v>
      </c>
      <c r="I57" s="1"/>
      <c r="J57" s="5">
        <f t="shared" ref="J57:J59" si="25">IF(H$12=0,0,H57/H$12)</f>
        <v>0</v>
      </c>
      <c r="K57" s="1"/>
      <c r="L57" s="1">
        <f t="shared" ref="L57:L59" si="26">+D57-H57</f>
        <v>-1726.4799999999996</v>
      </c>
      <c r="M57" s="1"/>
      <c r="N57" s="5">
        <f t="shared" ref="N57:N59" si="27">IF(H57=0,0,L57/H57)</f>
        <v>-0.24663999999999994</v>
      </c>
      <c r="O57" s="14"/>
      <c r="P57" s="1">
        <f>SUM(OSRRefP22_9x_0)</f>
        <v>8898.4500000000007</v>
      </c>
      <c r="Q57" s="1"/>
      <c r="R57" s="5">
        <f t="shared" ref="R57:R59" si="28">IF(P$12=0,0,P57/P$12)</f>
        <v>0</v>
      </c>
      <c r="S57" s="1"/>
      <c r="T57" s="1">
        <f>SUM(OSRRefT22_9x_0)</f>
        <v>14000</v>
      </c>
      <c r="U57" s="1"/>
      <c r="V57" s="5">
        <f t="shared" ref="V57:V59" si="29">IF(T$12=0,0,T57/T$12)</f>
        <v>0</v>
      </c>
      <c r="W57" s="1"/>
      <c r="X57" s="1">
        <f t="shared" ref="X57:X59" si="30">+P57-T57</f>
        <v>-5101.5499999999993</v>
      </c>
      <c r="Y57" s="1"/>
      <c r="Z57" s="5">
        <f t="shared" ref="Z57:Z59" si="31">IF(T57=0,0,X57/T57)</f>
        <v>-0.36439642857142851</v>
      </c>
    </row>
    <row r="58" spans="1:26" s="24" customFormat="1" hidden="1" outlineLevel="2" x14ac:dyDescent="0.3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>
        <v>5174.93</v>
      </c>
      <c r="E58" s="2"/>
      <c r="F58" s="7">
        <f t="shared" si="24"/>
        <v>0</v>
      </c>
      <c r="G58" s="2"/>
      <c r="H58" s="6">
        <v>7000</v>
      </c>
      <c r="I58" s="2"/>
      <c r="J58" s="7">
        <f t="shared" si="25"/>
        <v>0</v>
      </c>
      <c r="K58" s="2"/>
      <c r="L58" s="6">
        <f t="shared" si="26"/>
        <v>-1825.0699999999997</v>
      </c>
      <c r="M58" s="2"/>
      <c r="N58" s="7">
        <f t="shared" si="27"/>
        <v>-0.26072428571428569</v>
      </c>
      <c r="O58" s="11"/>
      <c r="P58" s="6">
        <v>8799.86</v>
      </c>
      <c r="Q58" s="2"/>
      <c r="R58" s="7">
        <f t="shared" si="28"/>
        <v>0</v>
      </c>
      <c r="S58" s="2"/>
      <c r="T58" s="6">
        <v>14000</v>
      </c>
      <c r="U58" s="2"/>
      <c r="V58" s="7">
        <f t="shared" si="29"/>
        <v>0</v>
      </c>
      <c r="W58" s="2"/>
      <c r="X58" s="6">
        <f t="shared" si="30"/>
        <v>-5200.1399999999994</v>
      </c>
      <c r="Y58" s="2"/>
      <c r="Z58" s="7">
        <f t="shared" si="31"/>
        <v>-0.3714385714285714</v>
      </c>
    </row>
    <row r="59" spans="1:26" s="24" customFormat="1" hidden="1" outlineLevel="2" x14ac:dyDescent="0.3">
      <c r="A59" s="27"/>
      <c r="B59" s="11" t="str">
        <f>CONCATENATE("          ", "6373", " - ", "MAINTENANCE CONTRACTS")</f>
        <v xml:space="preserve">          6373 - MAINTENANCE CONTRACTS</v>
      </c>
      <c r="C59" s="11"/>
      <c r="D59" s="6">
        <v>98.59</v>
      </c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98.59</v>
      </c>
      <c r="M59" s="2"/>
      <c r="N59" s="7">
        <f t="shared" si="27"/>
        <v>0</v>
      </c>
      <c r="O59" s="11"/>
      <c r="P59" s="6">
        <v>98.59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98.59</v>
      </c>
      <c r="Y59" s="2"/>
      <c r="Z59" s="7">
        <f t="shared" si="31"/>
        <v>0</v>
      </c>
    </row>
    <row r="60" spans="1:26" s="28" customFormat="1" outlineLevel="1" collapsed="1" x14ac:dyDescent="0.3">
      <c r="A60" s="29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0</v>
      </c>
      <c r="E60" s="1"/>
      <c r="F60" s="5">
        <f t="shared" ref="F60:F66" si="32">IF(D$12=0,0,D60/D$12)</f>
        <v>0</v>
      </c>
      <c r="G60" s="1"/>
      <c r="H60" s="1">
        <f>SUM(OSRRefH22_10x_0)</f>
        <v>0</v>
      </c>
      <c r="I60" s="1"/>
      <c r="J60" s="5">
        <f t="shared" ref="J60:J66" si="33">IF(H$12=0,0,H60/H$12)</f>
        <v>0</v>
      </c>
      <c r="K60" s="1"/>
      <c r="L60" s="1">
        <f t="shared" ref="L60:L66" si="34">+D60-H60</f>
        <v>0</v>
      </c>
      <c r="M60" s="1"/>
      <c r="N60" s="5">
        <f t="shared" ref="N60:N66" si="35">IF(H60=0,0,L60/H60)</f>
        <v>0</v>
      </c>
      <c r="O60" s="14"/>
      <c r="P60" s="1">
        <f>SUM(OSRRefP22_10x_0)</f>
        <v>219</v>
      </c>
      <c r="Q60" s="1"/>
      <c r="R60" s="5">
        <f t="shared" ref="R60:R66" si="36">IF(P$12=0,0,P60/P$12)</f>
        <v>0</v>
      </c>
      <c r="S60" s="1"/>
      <c r="T60" s="1">
        <f>SUM(OSRRefT22_10x_0)</f>
        <v>0</v>
      </c>
      <c r="U60" s="1"/>
      <c r="V60" s="5">
        <f t="shared" ref="V60:V66" si="37">IF(T$12=0,0,T60/T$12)</f>
        <v>0</v>
      </c>
      <c r="W60" s="1"/>
      <c r="X60" s="1">
        <f t="shared" ref="X60:X66" si="38">+P60-T60</f>
        <v>219</v>
      </c>
      <c r="Y60" s="1"/>
      <c r="Z60" s="5">
        <f t="shared" ref="Z60:Z66" si="39">IF(T60=0,0,X60/T60)</f>
        <v>0</v>
      </c>
    </row>
    <row r="61" spans="1:26" s="24" customFormat="1" hidden="1" outlineLevel="2" x14ac:dyDescent="0.3">
      <c r="A61" s="27"/>
      <c r="B61" s="11" t="str">
        <f>CONCATENATE("          ", "6258", " - ", "MEMBERSHIP DUES")</f>
        <v xml:space="preserve">          6258 - MEMBERSHIP DUES</v>
      </c>
      <c r="C61" s="11"/>
      <c r="D61" s="6"/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0</v>
      </c>
      <c r="M61" s="2"/>
      <c r="N61" s="7">
        <f t="shared" si="35"/>
        <v>0</v>
      </c>
      <c r="O61" s="11"/>
      <c r="P61" s="6">
        <v>219</v>
      </c>
      <c r="Q61" s="2"/>
      <c r="R61" s="7">
        <f t="shared" si="36"/>
        <v>0</v>
      </c>
      <c r="S61" s="2"/>
      <c r="T61" s="6"/>
      <c r="U61" s="2"/>
      <c r="V61" s="7">
        <f t="shared" si="37"/>
        <v>0</v>
      </c>
      <c r="W61" s="2"/>
      <c r="X61" s="6">
        <f t="shared" si="38"/>
        <v>219</v>
      </c>
      <c r="Y61" s="2"/>
      <c r="Z61" s="7">
        <f t="shared" si="39"/>
        <v>0</v>
      </c>
    </row>
    <row r="62" spans="1:26" s="28" customFormat="1" outlineLevel="1" collapsed="1" x14ac:dyDescent="0.3">
      <c r="A62" s="29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1785.91</v>
      </c>
      <c r="E62" s="1"/>
      <c r="F62" s="5">
        <f t="shared" si="32"/>
        <v>0</v>
      </c>
      <c r="G62" s="1"/>
      <c r="H62" s="1">
        <f>SUM(OSRRefH22_11x_0)</f>
        <v>1834</v>
      </c>
      <c r="I62" s="1"/>
      <c r="J62" s="5">
        <f t="shared" si="33"/>
        <v>0</v>
      </c>
      <c r="K62" s="1"/>
      <c r="L62" s="1">
        <f t="shared" si="34"/>
        <v>-48.089999999999918</v>
      </c>
      <c r="M62" s="1"/>
      <c r="N62" s="5">
        <f t="shared" si="35"/>
        <v>-2.6221374045801483E-2</v>
      </c>
      <c r="O62" s="14"/>
      <c r="P62" s="1">
        <f>SUM(OSRRefP22_11x_0)</f>
        <v>4584.8</v>
      </c>
      <c r="Q62" s="1"/>
      <c r="R62" s="5">
        <f t="shared" si="36"/>
        <v>0</v>
      </c>
      <c r="S62" s="1"/>
      <c r="T62" s="1">
        <f>SUM(OSRRefT22_11x_0)</f>
        <v>3668</v>
      </c>
      <c r="U62" s="1"/>
      <c r="V62" s="5">
        <f t="shared" si="37"/>
        <v>0</v>
      </c>
      <c r="W62" s="1"/>
      <c r="X62" s="1">
        <f t="shared" si="38"/>
        <v>916.80000000000018</v>
      </c>
      <c r="Y62" s="1"/>
      <c r="Z62" s="5">
        <f t="shared" si="39"/>
        <v>0.24994547437295533</v>
      </c>
    </row>
    <row r="63" spans="1:26" s="24" customFormat="1" hidden="1" outlineLevel="2" x14ac:dyDescent="0.3">
      <c r="A63" s="27"/>
      <c r="B63" s="11" t="str">
        <f>CONCATENATE("          ", "6235", " - ", "COVID-19 EXPENSES")</f>
        <v xml:space="preserve">          6235 - COVID-19 EXPENSES</v>
      </c>
      <c r="C63" s="11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>
        <v>2447.77</v>
      </c>
      <c r="Q63" s="2"/>
      <c r="R63" s="7">
        <f t="shared" si="36"/>
        <v>0</v>
      </c>
      <c r="S63" s="2"/>
      <c r="T63" s="6"/>
      <c r="U63" s="2"/>
      <c r="V63" s="7">
        <f t="shared" si="37"/>
        <v>0</v>
      </c>
      <c r="W63" s="2"/>
      <c r="X63" s="6">
        <f t="shared" si="38"/>
        <v>2447.77</v>
      </c>
      <c r="Y63" s="2"/>
      <c r="Z63" s="7">
        <f t="shared" si="39"/>
        <v>0</v>
      </c>
    </row>
    <row r="64" spans="1:26" s="24" customFormat="1" hidden="1" outlineLevel="2" x14ac:dyDescent="0.3">
      <c r="A64" s="27"/>
      <c r="B64" s="11" t="str">
        <f>CONCATENATE("          ", "6241", " - ", "OFFICE EXPENSE")</f>
        <v xml:space="preserve">          6241 - OFFICE EXPENSE</v>
      </c>
      <c r="C64" s="11"/>
      <c r="D64" s="6">
        <v>549.22</v>
      </c>
      <c r="E64" s="2"/>
      <c r="F64" s="7">
        <f t="shared" si="32"/>
        <v>0</v>
      </c>
      <c r="G64" s="2"/>
      <c r="H64" s="6">
        <v>1417</v>
      </c>
      <c r="I64" s="2"/>
      <c r="J64" s="7">
        <f t="shared" si="33"/>
        <v>0</v>
      </c>
      <c r="K64" s="2"/>
      <c r="L64" s="6">
        <f t="shared" si="34"/>
        <v>-867.78</v>
      </c>
      <c r="M64" s="2"/>
      <c r="N64" s="7">
        <f t="shared" si="35"/>
        <v>-0.61240649258997881</v>
      </c>
      <c r="O64" s="11"/>
      <c r="P64" s="6">
        <v>725.34</v>
      </c>
      <c r="Q64" s="2"/>
      <c r="R64" s="7">
        <f t="shared" si="36"/>
        <v>0</v>
      </c>
      <c r="S64" s="2"/>
      <c r="T64" s="6">
        <v>2834</v>
      </c>
      <c r="U64" s="2"/>
      <c r="V64" s="7">
        <f t="shared" si="37"/>
        <v>0</v>
      </c>
      <c r="W64" s="2"/>
      <c r="X64" s="6">
        <f t="shared" si="38"/>
        <v>-2108.66</v>
      </c>
      <c r="Y64" s="2"/>
      <c r="Z64" s="7">
        <f t="shared" si="39"/>
        <v>-0.74405786873676771</v>
      </c>
    </row>
    <row r="65" spans="1:26" s="24" customFormat="1" hidden="1" outlineLevel="2" x14ac:dyDescent="0.3">
      <c r="A65" s="27"/>
      <c r="B65" s="11" t="str">
        <f>CONCATENATE("          ", "6244", " - ", "SAFETY SUPPLY EXPENSE")</f>
        <v xml:space="preserve">          6244 - SAFETY SUPPLY EXPENSE</v>
      </c>
      <c r="C65" s="11"/>
      <c r="D65" s="6">
        <v>25</v>
      </c>
      <c r="E65" s="2"/>
      <c r="F65" s="7">
        <f t="shared" si="32"/>
        <v>0</v>
      </c>
      <c r="G65" s="2"/>
      <c r="H65" s="6">
        <v>417</v>
      </c>
      <c r="I65" s="2"/>
      <c r="J65" s="7">
        <f t="shared" si="33"/>
        <v>0</v>
      </c>
      <c r="K65" s="2"/>
      <c r="L65" s="6">
        <f t="shared" si="34"/>
        <v>-392</v>
      </c>
      <c r="M65" s="2"/>
      <c r="N65" s="7">
        <f t="shared" si="35"/>
        <v>-0.94004796163069548</v>
      </c>
      <c r="O65" s="11"/>
      <c r="P65" s="6">
        <v>200</v>
      </c>
      <c r="Q65" s="2"/>
      <c r="R65" s="7">
        <f t="shared" si="36"/>
        <v>0</v>
      </c>
      <c r="S65" s="2"/>
      <c r="T65" s="6">
        <v>834</v>
      </c>
      <c r="U65" s="2"/>
      <c r="V65" s="7">
        <f t="shared" si="37"/>
        <v>0</v>
      </c>
      <c r="W65" s="2"/>
      <c r="X65" s="6">
        <f t="shared" si="38"/>
        <v>-634</v>
      </c>
      <c r="Y65" s="2"/>
      <c r="Z65" s="7">
        <f t="shared" si="39"/>
        <v>-0.76019184652278182</v>
      </c>
    </row>
    <row r="66" spans="1:26" s="24" customFormat="1" hidden="1" outlineLevel="2" x14ac:dyDescent="0.3">
      <c r="A66" s="27"/>
      <c r="B66" s="11" t="str">
        <f>CONCATENATE("          ", "6248", " - ", "UNIFORMS")</f>
        <v xml:space="preserve">          6248 - UNIFORMS</v>
      </c>
      <c r="C66" s="11"/>
      <c r="D66" s="6">
        <v>1211.69</v>
      </c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1211.69</v>
      </c>
      <c r="M66" s="2"/>
      <c r="N66" s="7">
        <f t="shared" si="35"/>
        <v>0</v>
      </c>
      <c r="O66" s="11"/>
      <c r="P66" s="6">
        <v>1211.69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1211.69</v>
      </c>
      <c r="Y66" s="2"/>
      <c r="Z66" s="7">
        <f t="shared" si="39"/>
        <v>0</v>
      </c>
    </row>
    <row r="67" spans="1:26" s="28" customFormat="1" outlineLevel="1" collapsed="1" x14ac:dyDescent="0.3">
      <c r="A67" s="29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366.05</v>
      </c>
      <c r="E67" s="1"/>
      <c r="F67" s="5">
        <f t="shared" ref="F67:F70" si="40">IF(D$12=0,0,D67/D$12)</f>
        <v>0</v>
      </c>
      <c r="G67" s="1"/>
      <c r="H67" s="1">
        <f>SUM(OSRRefH22_12x_0)</f>
        <v>283</v>
      </c>
      <c r="I67" s="1"/>
      <c r="J67" s="5">
        <f t="shared" ref="J67:J70" si="41">IF(H$12=0,0,H67/H$12)</f>
        <v>0</v>
      </c>
      <c r="K67" s="1"/>
      <c r="L67" s="1">
        <f t="shared" ref="L67:L70" si="42">+D67-H67</f>
        <v>83.050000000000011</v>
      </c>
      <c r="M67" s="1"/>
      <c r="N67" s="5">
        <f t="shared" ref="N67:N70" si="43">IF(H67=0,0,L67/H67)</f>
        <v>0.29346289752650179</v>
      </c>
      <c r="O67" s="14"/>
      <c r="P67" s="1">
        <f>SUM(OSRRefP22_12x_0)</f>
        <v>708.35</v>
      </c>
      <c r="Q67" s="1"/>
      <c r="R67" s="5">
        <f t="shared" ref="R67:R70" si="44">IF(P$12=0,0,P67/P$12)</f>
        <v>0</v>
      </c>
      <c r="S67" s="1"/>
      <c r="T67" s="1">
        <f>SUM(OSRRefT22_12x_0)</f>
        <v>566</v>
      </c>
      <c r="U67" s="1"/>
      <c r="V67" s="5">
        <f t="shared" ref="V67:V70" si="45">IF(T$12=0,0,T67/T$12)</f>
        <v>0</v>
      </c>
      <c r="W67" s="1"/>
      <c r="X67" s="1">
        <f t="shared" ref="X67:X70" si="46">+P67-T67</f>
        <v>142.35000000000002</v>
      </c>
      <c r="Y67" s="1"/>
      <c r="Z67" s="5">
        <f t="shared" ref="Z67:Z70" si="47">IF(T67=0,0,X67/T67)</f>
        <v>0.25150176678445235</v>
      </c>
    </row>
    <row r="68" spans="1:26" s="24" customFormat="1" hidden="1" outlineLevel="2" x14ac:dyDescent="0.3">
      <c r="A68" s="27"/>
      <c r="B68" s="11" t="str">
        <f>CONCATENATE("          ", "6309", " - ", "TELEPHONE")</f>
        <v xml:space="preserve">          6309 - TELEPHONE</v>
      </c>
      <c r="C68" s="11"/>
      <c r="D68" s="6">
        <v>366.05</v>
      </c>
      <c r="E68" s="2"/>
      <c r="F68" s="7">
        <f t="shared" si="40"/>
        <v>0</v>
      </c>
      <c r="G68" s="2"/>
      <c r="H68" s="6">
        <v>283</v>
      </c>
      <c r="I68" s="2"/>
      <c r="J68" s="7">
        <f t="shared" si="41"/>
        <v>0</v>
      </c>
      <c r="K68" s="2"/>
      <c r="L68" s="6">
        <f t="shared" si="42"/>
        <v>83.050000000000011</v>
      </c>
      <c r="M68" s="2"/>
      <c r="N68" s="7">
        <f t="shared" si="43"/>
        <v>0.29346289752650179</v>
      </c>
      <c r="O68" s="11"/>
      <c r="P68" s="6">
        <v>708.35</v>
      </c>
      <c r="Q68" s="2"/>
      <c r="R68" s="7">
        <f t="shared" si="44"/>
        <v>0</v>
      </c>
      <c r="S68" s="2"/>
      <c r="T68" s="6">
        <v>566</v>
      </c>
      <c r="U68" s="2"/>
      <c r="V68" s="7">
        <f t="shared" si="45"/>
        <v>0</v>
      </c>
      <c r="W68" s="2"/>
      <c r="X68" s="6">
        <f t="shared" si="46"/>
        <v>142.35000000000002</v>
      </c>
      <c r="Y68" s="2"/>
      <c r="Z68" s="7">
        <f t="shared" si="47"/>
        <v>0.25150176678445235</v>
      </c>
    </row>
    <row r="69" spans="1:26" s="28" customFormat="1" outlineLevel="1" collapsed="1" x14ac:dyDescent="0.3">
      <c r="A69" s="29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0"/>
        <v>0</v>
      </c>
      <c r="G69" s="1"/>
      <c r="H69" s="1">
        <f>SUM(OSRRefH22_13x_0)</f>
        <v>333</v>
      </c>
      <c r="I69" s="1"/>
      <c r="J69" s="5">
        <f t="shared" si="41"/>
        <v>0</v>
      </c>
      <c r="K69" s="1"/>
      <c r="L69" s="1">
        <f t="shared" si="42"/>
        <v>-333</v>
      </c>
      <c r="M69" s="1"/>
      <c r="N69" s="5">
        <f t="shared" si="43"/>
        <v>-1</v>
      </c>
      <c r="O69" s="14"/>
      <c r="P69" s="1">
        <f>SUM(OSRRefP22_13x_0)</f>
        <v>0</v>
      </c>
      <c r="Q69" s="1"/>
      <c r="R69" s="5">
        <f t="shared" si="44"/>
        <v>0</v>
      </c>
      <c r="S69" s="1"/>
      <c r="T69" s="1">
        <f>SUM(OSRRefT22_13x_0)</f>
        <v>666</v>
      </c>
      <c r="U69" s="1"/>
      <c r="V69" s="5">
        <f t="shared" si="45"/>
        <v>0</v>
      </c>
      <c r="W69" s="1"/>
      <c r="X69" s="1">
        <f t="shared" si="46"/>
        <v>-666</v>
      </c>
      <c r="Y69" s="1"/>
      <c r="Z69" s="5">
        <f t="shared" si="47"/>
        <v>-1</v>
      </c>
    </row>
    <row r="70" spans="1:26" s="24" customFormat="1" hidden="1" outlineLevel="2" x14ac:dyDescent="0.3">
      <c r="A70" s="27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0"/>
        <v>0</v>
      </c>
      <c r="G70" s="2"/>
      <c r="H70" s="6">
        <v>333</v>
      </c>
      <c r="I70" s="2"/>
      <c r="J70" s="7">
        <f t="shared" si="41"/>
        <v>0</v>
      </c>
      <c r="K70" s="2"/>
      <c r="L70" s="6">
        <f t="shared" si="42"/>
        <v>-333</v>
      </c>
      <c r="M70" s="2"/>
      <c r="N70" s="7">
        <f t="shared" si="43"/>
        <v>-1</v>
      </c>
      <c r="O70" s="11"/>
      <c r="P70" s="6"/>
      <c r="Q70" s="2"/>
      <c r="R70" s="7">
        <f t="shared" si="44"/>
        <v>0</v>
      </c>
      <c r="S70" s="2"/>
      <c r="T70" s="6">
        <v>666</v>
      </c>
      <c r="U70" s="2"/>
      <c r="V70" s="7">
        <f t="shared" si="45"/>
        <v>0</v>
      </c>
      <c r="W70" s="2"/>
      <c r="X70" s="6">
        <f t="shared" si="46"/>
        <v>-666</v>
      </c>
      <c r="Y70" s="2"/>
      <c r="Z70" s="7">
        <f t="shared" si="47"/>
        <v>-1</v>
      </c>
    </row>
    <row r="71" spans="1:26" s="53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3">
      <c r="A72" s="10"/>
      <c r="B72" s="25" t="s">
        <v>293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3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3">
      <c r="A74" s="10"/>
      <c r="B74" s="26" t="s">
        <v>277</v>
      </c>
      <c r="C74" s="26"/>
      <c r="D74" s="21">
        <f>+D16-D18+D72</f>
        <v>-47897.97</v>
      </c>
      <c r="E74" s="13"/>
      <c r="F74" s="20">
        <f>IF(D$12=0,0,D74/D$12)</f>
        <v>0</v>
      </c>
      <c r="G74" s="13"/>
      <c r="H74" s="21">
        <f>+H16-H18+H72</f>
        <v>-46349.26516968615</v>
      </c>
      <c r="I74" s="13"/>
      <c r="J74" s="20">
        <f>IF(H$12=0,0,H74/H$12)</f>
        <v>0</v>
      </c>
      <c r="K74" s="16"/>
      <c r="L74" s="21">
        <f>+D74-H74</f>
        <v>-1548.7048303138508</v>
      </c>
      <c r="M74" s="16"/>
      <c r="N74" s="20">
        <f>IF(H74=0,0,L74/H74)</f>
        <v>3.3413794687876766E-2</v>
      </c>
      <c r="O74" s="25"/>
      <c r="P74" s="21">
        <f>+P16-P18+P72</f>
        <v>-106528.35</v>
      </c>
      <c r="Q74" s="13"/>
      <c r="R74" s="20">
        <f>IF(P$12=0,0,P74/P$12)</f>
        <v>0</v>
      </c>
      <c r="S74" s="13"/>
      <c r="T74" s="21">
        <f>+T16-T18+T72</f>
        <v>-100592.0966317938</v>
      </c>
      <c r="U74" s="13"/>
      <c r="V74" s="20">
        <f>IF(T$12=0,0,T74/T$12)</f>
        <v>0</v>
      </c>
      <c r="W74" s="16"/>
      <c r="X74" s="21">
        <f>+P74-T74</f>
        <v>-5936.2533682062058</v>
      </c>
      <c r="Y74" s="16"/>
      <c r="Z74" s="20">
        <f>IF(T74=0,0,X74/T74)</f>
        <v>5.9013118992192817E-2</v>
      </c>
    </row>
    <row r="75" spans="1:26" x14ac:dyDescent="0.3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">
      <c r="A76" s="52"/>
      <c r="B76" s="10" t="s">
        <v>128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3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35">
      <c r="A78" s="10"/>
      <c r="B78" s="26" t="s">
        <v>126</v>
      </c>
      <c r="C78" s="26"/>
      <c r="D78" s="30">
        <f>+D74-D76</f>
        <v>-47897.97</v>
      </c>
      <c r="E78" s="13"/>
      <c r="F78" s="35">
        <f>IF(D$12=0,0,D78/D$12)</f>
        <v>0</v>
      </c>
      <c r="G78" s="13"/>
      <c r="H78" s="30">
        <f>+H74-H76</f>
        <v>-46349.26516968615</v>
      </c>
      <c r="I78" s="13"/>
      <c r="J78" s="35">
        <f>IF(H$12=0,0,H78/H$12)</f>
        <v>0</v>
      </c>
      <c r="K78" s="16"/>
      <c r="L78" s="30">
        <f>D78-H78</f>
        <v>-1548.7048303138508</v>
      </c>
      <c r="M78" s="16"/>
      <c r="N78" s="35">
        <f>IF(H78=0,0,L78/H78)</f>
        <v>3.3413794687876766E-2</v>
      </c>
      <c r="O78" s="25"/>
      <c r="P78" s="30">
        <f>+P74-P76</f>
        <v>-106528.35</v>
      </c>
      <c r="Q78" s="13"/>
      <c r="R78" s="35">
        <f>IF(P$12=0,0,P78/P$12)</f>
        <v>0</v>
      </c>
      <c r="S78" s="13"/>
      <c r="T78" s="30">
        <f>+T74-T76</f>
        <v>-100592.0966317938</v>
      </c>
      <c r="U78" s="13"/>
      <c r="V78" s="35">
        <f>IF(T$12=0,0,T78/T$12)</f>
        <v>0</v>
      </c>
      <c r="W78" s="16"/>
      <c r="X78" s="30">
        <f>P78-T78</f>
        <v>-5936.2533682062058</v>
      </c>
      <c r="Y78" s="16"/>
      <c r="Z78" s="35">
        <f>IF(T78=0,0,X78/T78)</f>
        <v>5.9013118992192817E-2</v>
      </c>
    </row>
    <row r="79" spans="1:26" ht="15" thickTop="1" x14ac:dyDescent="0.3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" thickBot="1" x14ac:dyDescent="0.35">
      <c r="A81" s="10"/>
      <c r="B81" s="26" t="s">
        <v>294</v>
      </c>
      <c r="C81" s="26"/>
      <c r="D81" s="32">
        <f>SUM(D78:D80)</f>
        <v>-47897.97</v>
      </c>
      <c r="E81" s="13"/>
      <c r="F81" s="34">
        <f>IF(D$12=0,0,D81/D$12)</f>
        <v>0</v>
      </c>
      <c r="G81" s="13"/>
      <c r="H81" s="32">
        <f>SUM(H78:H80)</f>
        <v>-46349.26516968615</v>
      </c>
      <c r="I81" s="13"/>
      <c r="J81" s="34">
        <f>IF(H$12=0,0,H81/H$12)</f>
        <v>0</v>
      </c>
      <c r="K81" s="16"/>
      <c r="L81" s="32">
        <f>+D81-H81</f>
        <v>-1548.7048303138508</v>
      </c>
      <c r="M81" s="16"/>
      <c r="N81" s="34">
        <f>IF(H81=0,0,L81/H81)</f>
        <v>3.3413794687876766E-2</v>
      </c>
      <c r="O81" s="25"/>
      <c r="P81" s="32">
        <f>SUM(P78:P80)</f>
        <v>-106528.35</v>
      </c>
      <c r="Q81" s="13"/>
      <c r="R81" s="34">
        <f>IF(P$12=0,0,P81/P$12)</f>
        <v>0</v>
      </c>
      <c r="S81" s="13"/>
      <c r="T81" s="32">
        <f>SUM(T78:T80)</f>
        <v>-100592.0966317938</v>
      </c>
      <c r="U81" s="13"/>
      <c r="V81" s="34">
        <f>IF(T$12=0,0,T81/T$12)</f>
        <v>0</v>
      </c>
      <c r="W81" s="16"/>
      <c r="X81" s="32">
        <f>+P81-T81</f>
        <v>-5936.2533682062058</v>
      </c>
      <c r="Y81" s="16"/>
      <c r="Z81" s="34">
        <f>IF(T81=0,0,X81/T81)</f>
        <v>5.9013118992192817E-2</v>
      </c>
    </row>
    <row r="82" spans="1:26" ht="15" thickTop="1" x14ac:dyDescent="0.3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3">
      <c r="A83" s="9"/>
      <c r="B83" s="61">
        <v>44470.835499687499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3">
      <c r="A84" s="9"/>
      <c r="B84" s="58" t="s">
        <v>56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3">
      <c r="A85" s="9"/>
      <c r="B85" s="55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","204", " - ", "Information Technology")</f>
        <v>Department 204 - Information Technology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43235.12</v>
      </c>
      <c r="E18" s="22"/>
      <c r="F18" s="31">
        <f t="shared" ref="F18:F28" si="0">IF(D$12=0,0,D18/D$12)</f>
        <v>0</v>
      </c>
      <c r="G18" s="22"/>
      <c r="H18" s="22">
        <f>SUM(OSRRefH22x_0)</f>
        <v>49159.666047384599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-5924.546047384596</v>
      </c>
      <c r="M18" s="4"/>
      <c r="N18" s="31">
        <f t="shared" ref="N18:N28" si="3">IF(H18=0,0,L18/H18)</f>
        <v>-0.12051640142701488</v>
      </c>
      <c r="O18" s="10"/>
      <c r="P18" s="22">
        <f>SUM(OSRRefP22x_0)</f>
        <v>91089.110000000015</v>
      </c>
      <c r="Q18" s="22"/>
      <c r="R18" s="31">
        <f t="shared" ref="R18:R28" si="4">IF(P$12=0,0,P18/P$12)</f>
        <v>0</v>
      </c>
      <c r="S18" s="22"/>
      <c r="T18" s="22">
        <f>SUM(OSRRefT22x_0)</f>
        <v>108150.74860661534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-17061.638606615321</v>
      </c>
      <c r="Y18" s="4"/>
      <c r="Z18" s="31">
        <f t="shared" ref="Z18:Z28" si="7">IF(T18=0,0,X18/T18)</f>
        <v>-0.1577579334996087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10818.99</v>
      </c>
      <c r="E19" s="1"/>
      <c r="F19" s="5">
        <f t="shared" si="0"/>
        <v>0</v>
      </c>
      <c r="G19" s="1"/>
      <c r="H19" s="1">
        <f>SUM(OSRRefH22_0x_0)</f>
        <v>11122.496816615394</v>
      </c>
      <c r="I19" s="1"/>
      <c r="J19" s="5">
        <f t="shared" si="1"/>
        <v>0</v>
      </c>
      <c r="K19" s="1"/>
      <c r="L19" s="1">
        <f t="shared" si="2"/>
        <v>-303.5068166153942</v>
      </c>
      <c r="M19" s="1"/>
      <c r="N19" s="5">
        <f t="shared" si="3"/>
        <v>-2.7287651470666113E-2</v>
      </c>
      <c r="O19" s="14"/>
      <c r="P19" s="1">
        <f>SUM(OSRRefP22_0x_0)</f>
        <v>21540.17</v>
      </c>
      <c r="Q19" s="1"/>
      <c r="R19" s="5">
        <f t="shared" si="4"/>
        <v>0</v>
      </c>
      <c r="S19" s="1"/>
      <c r="T19" s="1">
        <f>SUM(OSRRefT22_0x_0)</f>
        <v>23616.617837384641</v>
      </c>
      <c r="U19" s="1"/>
      <c r="V19" s="5">
        <f t="shared" si="5"/>
        <v>0</v>
      </c>
      <c r="W19" s="1"/>
      <c r="X19" s="1">
        <f t="shared" si="6"/>
        <v>-2076.4478373846432</v>
      </c>
      <c r="Y19" s="1"/>
      <c r="Z19" s="5">
        <f t="shared" si="7"/>
        <v>-8.792316713943972E-2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1417.14</v>
      </c>
      <c r="E20" s="2"/>
      <c r="F20" s="7">
        <f t="shared" si="0"/>
        <v>0</v>
      </c>
      <c r="G20" s="2"/>
      <c r="H20" s="6">
        <v>1810.8128289230799</v>
      </c>
      <c r="I20" s="2"/>
      <c r="J20" s="7">
        <f t="shared" si="1"/>
        <v>0</v>
      </c>
      <c r="K20" s="2"/>
      <c r="L20" s="6">
        <f t="shared" si="2"/>
        <v>-393.67282892307981</v>
      </c>
      <c r="M20" s="2"/>
      <c r="N20" s="7">
        <f t="shared" si="3"/>
        <v>-0.21740117069813533</v>
      </c>
      <c r="O20" s="11"/>
      <c r="P20" s="6">
        <v>2817.06</v>
      </c>
      <c r="Q20" s="2"/>
      <c r="R20" s="7">
        <f t="shared" si="4"/>
        <v>0</v>
      </c>
      <c r="S20" s="2"/>
      <c r="T20" s="6">
        <v>4074.32886507693</v>
      </c>
      <c r="U20" s="2"/>
      <c r="V20" s="7">
        <f t="shared" si="5"/>
        <v>0</v>
      </c>
      <c r="W20" s="2"/>
      <c r="X20" s="6">
        <f t="shared" si="6"/>
        <v>-1257.2688650769301</v>
      </c>
      <c r="Y20" s="2"/>
      <c r="Z20" s="7">
        <f t="shared" si="7"/>
        <v>-0.30858305912750389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238.97</v>
      </c>
      <c r="E21" s="2"/>
      <c r="F21" s="7">
        <f t="shared" si="0"/>
        <v>0</v>
      </c>
      <c r="G21" s="2"/>
      <c r="H21" s="6">
        <v>73.350578461538504</v>
      </c>
      <c r="I21" s="2"/>
      <c r="J21" s="7">
        <f t="shared" si="1"/>
        <v>0</v>
      </c>
      <c r="K21" s="2"/>
      <c r="L21" s="6">
        <f t="shared" si="2"/>
        <v>165.61942153846149</v>
      </c>
      <c r="M21" s="2"/>
      <c r="N21" s="7">
        <f t="shared" si="3"/>
        <v>2.2579156839956527</v>
      </c>
      <c r="O21" s="11"/>
      <c r="P21" s="6">
        <v>475.04</v>
      </c>
      <c r="Q21" s="2"/>
      <c r="R21" s="7">
        <f t="shared" si="4"/>
        <v>0</v>
      </c>
      <c r="S21" s="2"/>
      <c r="T21" s="6">
        <v>165.038801538462</v>
      </c>
      <c r="U21" s="2"/>
      <c r="V21" s="7">
        <f t="shared" si="5"/>
        <v>0</v>
      </c>
      <c r="W21" s="2"/>
      <c r="X21" s="6">
        <f t="shared" si="6"/>
        <v>310.00119846153802</v>
      </c>
      <c r="Y21" s="2"/>
      <c r="Z21" s="7">
        <f t="shared" si="7"/>
        <v>1.8783534270229949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4833.2700000000004</v>
      </c>
      <c r="E22" s="2"/>
      <c r="F22" s="7">
        <f t="shared" si="0"/>
        <v>0</v>
      </c>
      <c r="G22" s="2"/>
      <c r="H22" s="6">
        <v>5336</v>
      </c>
      <c r="I22" s="2"/>
      <c r="J22" s="7">
        <f t="shared" si="1"/>
        <v>0</v>
      </c>
      <c r="K22" s="2"/>
      <c r="L22" s="6">
        <f t="shared" si="2"/>
        <v>-502.72999999999956</v>
      </c>
      <c r="M22" s="2"/>
      <c r="N22" s="7">
        <f t="shared" si="3"/>
        <v>-9.4214767616191825E-2</v>
      </c>
      <c r="O22" s="11"/>
      <c r="P22" s="6">
        <v>9666.5400000000009</v>
      </c>
      <c r="Q22" s="2"/>
      <c r="R22" s="7">
        <f t="shared" si="4"/>
        <v>0</v>
      </c>
      <c r="S22" s="2"/>
      <c r="T22" s="6">
        <v>10672</v>
      </c>
      <c r="U22" s="2"/>
      <c r="V22" s="7">
        <f t="shared" si="5"/>
        <v>0</v>
      </c>
      <c r="W22" s="2"/>
      <c r="X22" s="6">
        <f t="shared" si="6"/>
        <v>-1005.4599999999991</v>
      </c>
      <c r="Y22" s="2"/>
      <c r="Z22" s="7">
        <f t="shared" si="7"/>
        <v>-9.4214767616191825E-2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48.16</v>
      </c>
      <c r="E23" s="2"/>
      <c r="F23" s="7">
        <f t="shared" si="0"/>
        <v>0</v>
      </c>
      <c r="G23" s="2"/>
      <c r="H23" s="6">
        <v>49.6891015384615</v>
      </c>
      <c r="I23" s="2"/>
      <c r="J23" s="7">
        <f t="shared" si="1"/>
        <v>0</v>
      </c>
      <c r="K23" s="2"/>
      <c r="L23" s="6">
        <f t="shared" si="2"/>
        <v>-1.5291015384615037</v>
      </c>
      <c r="M23" s="2"/>
      <c r="N23" s="7">
        <f t="shared" si="3"/>
        <v>-3.0773378691057902E-2</v>
      </c>
      <c r="O23" s="11"/>
      <c r="P23" s="6">
        <v>95.74</v>
      </c>
      <c r="Q23" s="2"/>
      <c r="R23" s="7">
        <f t="shared" si="4"/>
        <v>0</v>
      </c>
      <c r="S23" s="2"/>
      <c r="T23" s="6">
        <v>111.80047846153801</v>
      </c>
      <c r="U23" s="2"/>
      <c r="V23" s="7">
        <f t="shared" si="5"/>
        <v>0</v>
      </c>
      <c r="W23" s="2"/>
      <c r="X23" s="6">
        <f t="shared" si="6"/>
        <v>-16.060478461538011</v>
      </c>
      <c r="Y23" s="2"/>
      <c r="Z23" s="7">
        <f t="shared" si="7"/>
        <v>-0.14365303872168306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1834.11</v>
      </c>
      <c r="E24" s="2"/>
      <c r="F24" s="7">
        <f t="shared" si="0"/>
        <v>0</v>
      </c>
      <c r="G24" s="2"/>
      <c r="H24" s="6">
        <v>1567.18461538462</v>
      </c>
      <c r="I24" s="2"/>
      <c r="J24" s="7">
        <f t="shared" si="1"/>
        <v>0</v>
      </c>
      <c r="K24" s="2"/>
      <c r="L24" s="6">
        <f t="shared" si="2"/>
        <v>266.92538461537993</v>
      </c>
      <c r="M24" s="2"/>
      <c r="N24" s="7">
        <f t="shared" si="3"/>
        <v>0.17032159580629294</v>
      </c>
      <c r="O24" s="11"/>
      <c r="P24" s="6">
        <v>3668.22</v>
      </c>
      <c r="Q24" s="2"/>
      <c r="R24" s="7">
        <f t="shared" si="4"/>
        <v>0</v>
      </c>
      <c r="S24" s="2"/>
      <c r="T24" s="6">
        <v>3526.1653846153899</v>
      </c>
      <c r="U24" s="2"/>
      <c r="V24" s="7">
        <f t="shared" si="5"/>
        <v>0</v>
      </c>
      <c r="W24" s="2"/>
      <c r="X24" s="6">
        <f t="shared" si="6"/>
        <v>142.05461538460986</v>
      </c>
      <c r="Y24" s="2"/>
      <c r="Z24" s="7">
        <f t="shared" si="7"/>
        <v>4.0285862938928545E-2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1349.22</v>
      </c>
      <c r="E26" s="2"/>
      <c r="F26" s="7">
        <f t="shared" si="0"/>
        <v>0</v>
      </c>
      <c r="G26" s="2"/>
      <c r="H26" s="6">
        <v>911.15384615384596</v>
      </c>
      <c r="I26" s="2"/>
      <c r="J26" s="7">
        <f t="shared" si="1"/>
        <v>0</v>
      </c>
      <c r="K26" s="2"/>
      <c r="L26" s="6">
        <f t="shared" si="2"/>
        <v>438.06615384615407</v>
      </c>
      <c r="M26" s="2"/>
      <c r="N26" s="7">
        <f t="shared" si="3"/>
        <v>0.48078176445757737</v>
      </c>
      <c r="O26" s="11"/>
      <c r="P26" s="6">
        <v>2740.1</v>
      </c>
      <c r="Q26" s="2"/>
      <c r="R26" s="7">
        <f t="shared" si="4"/>
        <v>0</v>
      </c>
      <c r="S26" s="2"/>
      <c r="T26" s="6">
        <v>2050.0961538461602</v>
      </c>
      <c r="U26" s="2"/>
      <c r="V26" s="7">
        <f t="shared" si="5"/>
        <v>0</v>
      </c>
      <c r="W26" s="2"/>
      <c r="X26" s="6">
        <f t="shared" si="6"/>
        <v>690.00384615383973</v>
      </c>
      <c r="Y26" s="2"/>
      <c r="Z26" s="7">
        <f t="shared" si="7"/>
        <v>0.33657145537263311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844.06</v>
      </c>
      <c r="E27" s="2"/>
      <c r="F27" s="7">
        <f t="shared" si="0"/>
        <v>0</v>
      </c>
      <c r="G27" s="2"/>
      <c r="H27" s="6">
        <v>1074.3058461538501</v>
      </c>
      <c r="I27" s="2"/>
      <c r="J27" s="7">
        <f t="shared" si="1"/>
        <v>0</v>
      </c>
      <c r="K27" s="2"/>
      <c r="L27" s="6">
        <f t="shared" si="2"/>
        <v>-230.24584615385015</v>
      </c>
      <c r="M27" s="2"/>
      <c r="N27" s="7">
        <f t="shared" si="3"/>
        <v>-0.21432057451624154</v>
      </c>
      <c r="O27" s="11"/>
      <c r="P27" s="6">
        <v>1688.12</v>
      </c>
      <c r="Q27" s="2"/>
      <c r="R27" s="7">
        <f t="shared" si="4"/>
        <v>0</v>
      </c>
      <c r="S27" s="2"/>
      <c r="T27" s="6">
        <v>2417.1881538461598</v>
      </c>
      <c r="U27" s="2"/>
      <c r="V27" s="7">
        <f t="shared" si="5"/>
        <v>0</v>
      </c>
      <c r="W27" s="2"/>
      <c r="X27" s="6">
        <f t="shared" si="6"/>
        <v>-729.06815384615993</v>
      </c>
      <c r="Y27" s="2"/>
      <c r="Z27" s="7">
        <f t="shared" si="7"/>
        <v>-0.30161828845888056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254.06</v>
      </c>
      <c r="E28" s="2"/>
      <c r="F28" s="7">
        <f t="shared" si="0"/>
        <v>0</v>
      </c>
      <c r="G28" s="2"/>
      <c r="H28" s="6">
        <v>300</v>
      </c>
      <c r="I28" s="2"/>
      <c r="J28" s="7">
        <f t="shared" si="1"/>
        <v>0</v>
      </c>
      <c r="K28" s="2"/>
      <c r="L28" s="6">
        <f t="shared" si="2"/>
        <v>-45.94</v>
      </c>
      <c r="M28" s="2"/>
      <c r="N28" s="7">
        <f t="shared" si="3"/>
        <v>-0.15313333333333332</v>
      </c>
      <c r="O28" s="11"/>
      <c r="P28" s="6">
        <v>389.35</v>
      </c>
      <c r="Q28" s="2"/>
      <c r="R28" s="7">
        <f t="shared" si="4"/>
        <v>0</v>
      </c>
      <c r="S28" s="2"/>
      <c r="T28" s="6">
        <v>600</v>
      </c>
      <c r="U28" s="2"/>
      <c r="V28" s="7">
        <f t="shared" si="5"/>
        <v>0</v>
      </c>
      <c r="W28" s="2"/>
      <c r="X28" s="6">
        <f t="shared" si="6"/>
        <v>-210.64999999999998</v>
      </c>
      <c r="Y28" s="2"/>
      <c r="Z28" s="7">
        <f t="shared" si="7"/>
        <v>-0.3510833333333333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17764.14</v>
      </c>
      <c r="E29" s="1"/>
      <c r="F29" s="5">
        <f t="shared" ref="F29:F39" si="8">IF(D$12=0,0,D29/D$12)</f>
        <v>0</v>
      </c>
      <c r="G29" s="1"/>
      <c r="H29" s="1">
        <f>SUM(OSRRefH22_1x_0)</f>
        <v>21839.169230769199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-4075.0292307691998</v>
      </c>
      <c r="M29" s="1"/>
      <c r="N29" s="5">
        <f t="shared" ref="N29:N39" si="11">IF(H29=0,0,L29/H29)</f>
        <v>-0.18659268526697859</v>
      </c>
      <c r="O29" s="14"/>
      <c r="P29" s="1">
        <f>SUM(OSRRefP22_1x_0)</f>
        <v>38906.410000000003</v>
      </c>
      <c r="Q29" s="1"/>
      <c r="R29" s="5">
        <f t="shared" ref="R29:R39" si="12">IF(P$12=0,0,P29/P$12)</f>
        <v>0</v>
      </c>
      <c r="S29" s="1"/>
      <c r="T29" s="1">
        <f>SUM(OSRRefT22_1x_0)</f>
        <v>49138.130769230702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-10231.720769230698</v>
      </c>
      <c r="Y29" s="1"/>
      <c r="Z29" s="5">
        <f t="shared" ref="Z29:Z39" si="15">IF(T29=0,0,X29/T29)</f>
        <v>-0.20822364646474492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>
        <v>17764.14</v>
      </c>
      <c r="E31" s="2"/>
      <c r="F31" s="7">
        <f t="shared" si="8"/>
        <v>0</v>
      </c>
      <c r="G31" s="2"/>
      <c r="H31" s="6">
        <v>16400.769230769201</v>
      </c>
      <c r="I31" s="2"/>
      <c r="J31" s="7">
        <f t="shared" si="9"/>
        <v>0</v>
      </c>
      <c r="K31" s="2"/>
      <c r="L31" s="6">
        <f t="shared" si="10"/>
        <v>1363.370769230798</v>
      </c>
      <c r="M31" s="2"/>
      <c r="N31" s="7">
        <f t="shared" si="11"/>
        <v>8.3128464893768614E-2</v>
      </c>
      <c r="O31" s="11"/>
      <c r="P31" s="6">
        <v>38906.410000000003</v>
      </c>
      <c r="Q31" s="2"/>
      <c r="R31" s="7">
        <f t="shared" si="12"/>
        <v>0</v>
      </c>
      <c r="S31" s="2"/>
      <c r="T31" s="6">
        <v>36901.7307692307</v>
      </c>
      <c r="U31" s="2"/>
      <c r="V31" s="7">
        <f t="shared" si="13"/>
        <v>0</v>
      </c>
      <c r="W31" s="2"/>
      <c r="X31" s="6">
        <f t="shared" si="14"/>
        <v>2004.6792307693031</v>
      </c>
      <c r="Y31" s="2"/>
      <c r="Z31" s="7">
        <f t="shared" si="15"/>
        <v>5.4324802359699595E-2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5438.4</v>
      </c>
      <c r="I33" s="2"/>
      <c r="J33" s="7">
        <f t="shared" si="9"/>
        <v>0</v>
      </c>
      <c r="K33" s="2"/>
      <c r="L33" s="6">
        <f t="shared" si="10"/>
        <v>-5438.4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12236.4</v>
      </c>
      <c r="U33" s="2"/>
      <c r="V33" s="7">
        <f t="shared" si="13"/>
        <v>0</v>
      </c>
      <c r="W33" s="2"/>
      <c r="X33" s="6">
        <f t="shared" si="14"/>
        <v>-12236.4</v>
      </c>
      <c r="Y33" s="2"/>
      <c r="Z33" s="7">
        <f t="shared" si="15"/>
        <v>-1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4" si="16">IF(D$12=0,0,D40/D$12)</f>
        <v>0</v>
      </c>
      <c r="G40" s="1"/>
      <c r="H40" s="1">
        <f>SUM(OSRRefH22_2x_0)</f>
        <v>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0</v>
      </c>
      <c r="M40" s="1"/>
      <c r="N40" s="5">
        <f t="shared" ref="N40:N44" si="19">IF(H40=0,0,L40/H40)</f>
        <v>0</v>
      </c>
      <c r="O40" s="14"/>
      <c r="P40" s="1">
        <f>SUM(OSRRefP22_2x_0)</f>
        <v>0</v>
      </c>
      <c r="Q40" s="1"/>
      <c r="R40" s="5">
        <f t="shared" ref="R40:R44" si="20">IF(P$12=0,0,P40/P$12)</f>
        <v>0</v>
      </c>
      <c r="S40" s="1"/>
      <c r="T40" s="1">
        <f>SUM(OSRRefT22_2x_0)</f>
        <v>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0</v>
      </c>
      <c r="Y40" s="1"/>
      <c r="Z40" s="5">
        <f t="shared" ref="Z40:Z44" si="23">IF(T40=0,0,X40/T40)</f>
        <v>0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8" customFormat="1" outlineLevel="1" collapsed="1" x14ac:dyDescent="0.3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5098.37</v>
      </c>
      <c r="E42" s="1"/>
      <c r="F42" s="5">
        <f t="shared" si="16"/>
        <v>0</v>
      </c>
      <c r="G42" s="1"/>
      <c r="H42" s="1">
        <f>SUM(OSRRefH22_3x_0)</f>
        <v>5056</v>
      </c>
      <c r="I42" s="1"/>
      <c r="J42" s="5">
        <f t="shared" si="17"/>
        <v>0</v>
      </c>
      <c r="K42" s="1"/>
      <c r="L42" s="1">
        <f t="shared" si="18"/>
        <v>42.369999999999891</v>
      </c>
      <c r="M42" s="1"/>
      <c r="N42" s="5">
        <f t="shared" si="19"/>
        <v>8.3801424050632695E-3</v>
      </c>
      <c r="O42" s="14"/>
      <c r="P42" s="1">
        <f>SUM(OSRRefP22_3x_0)</f>
        <v>10196.74</v>
      </c>
      <c r="Q42" s="1"/>
      <c r="R42" s="5">
        <f t="shared" si="20"/>
        <v>0</v>
      </c>
      <c r="S42" s="1"/>
      <c r="T42" s="1">
        <f>SUM(OSRRefT22_3x_0)</f>
        <v>10112</v>
      </c>
      <c r="U42" s="1"/>
      <c r="V42" s="5">
        <f t="shared" si="21"/>
        <v>0</v>
      </c>
      <c r="W42" s="1"/>
      <c r="X42" s="1">
        <f t="shared" si="22"/>
        <v>84.739999999999782</v>
      </c>
      <c r="Y42" s="1"/>
      <c r="Z42" s="5">
        <f t="shared" si="23"/>
        <v>8.3801424050632695E-3</v>
      </c>
    </row>
    <row r="43" spans="1:26" s="24" customFormat="1" hidden="1" outlineLevel="2" x14ac:dyDescent="0.3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5098.37</v>
      </c>
      <c r="E43" s="2"/>
      <c r="F43" s="7">
        <f t="shared" si="16"/>
        <v>0</v>
      </c>
      <c r="G43" s="2"/>
      <c r="H43" s="6">
        <v>4556</v>
      </c>
      <c r="I43" s="2"/>
      <c r="J43" s="7">
        <f t="shared" si="17"/>
        <v>0</v>
      </c>
      <c r="K43" s="2"/>
      <c r="L43" s="6">
        <f t="shared" si="18"/>
        <v>542.36999999999989</v>
      </c>
      <c r="M43" s="2"/>
      <c r="N43" s="7">
        <f t="shared" si="19"/>
        <v>0.11904521510096573</v>
      </c>
      <c r="O43" s="11"/>
      <c r="P43" s="6">
        <v>10196.74</v>
      </c>
      <c r="Q43" s="2"/>
      <c r="R43" s="7">
        <f t="shared" si="20"/>
        <v>0</v>
      </c>
      <c r="S43" s="2"/>
      <c r="T43" s="6">
        <v>9112</v>
      </c>
      <c r="U43" s="2"/>
      <c r="V43" s="7">
        <f t="shared" si="21"/>
        <v>0</v>
      </c>
      <c r="W43" s="2"/>
      <c r="X43" s="6">
        <f t="shared" si="22"/>
        <v>1084.7399999999998</v>
      </c>
      <c r="Y43" s="2"/>
      <c r="Z43" s="7">
        <f t="shared" si="23"/>
        <v>0.11904521510096573</v>
      </c>
    </row>
    <row r="44" spans="1:26" s="24" customFormat="1" hidden="1" outlineLevel="2" x14ac:dyDescent="0.3">
      <c r="A44" s="27"/>
      <c r="B44" s="11" t="str">
        <f>CONCATENATE("          ", "6324", " - ", "FURNITURE + FIXT DEPRECIATION")</f>
        <v xml:space="preserve">          6324 - FURNITURE + FIXT DEPRECIATION</v>
      </c>
      <c r="C44" s="11"/>
      <c r="D44" s="6"/>
      <c r="E44" s="2"/>
      <c r="F44" s="7">
        <f t="shared" si="16"/>
        <v>0</v>
      </c>
      <c r="G44" s="2"/>
      <c r="H44" s="6">
        <v>500</v>
      </c>
      <c r="I44" s="2"/>
      <c r="J44" s="7">
        <f t="shared" si="17"/>
        <v>0</v>
      </c>
      <c r="K44" s="2"/>
      <c r="L44" s="6">
        <f t="shared" si="18"/>
        <v>-500</v>
      </c>
      <c r="M44" s="2"/>
      <c r="N44" s="7">
        <f t="shared" si="19"/>
        <v>-1</v>
      </c>
      <c r="O44" s="11"/>
      <c r="P44" s="6"/>
      <c r="Q44" s="2"/>
      <c r="R44" s="7">
        <f t="shared" si="20"/>
        <v>0</v>
      </c>
      <c r="S44" s="2"/>
      <c r="T44" s="6">
        <v>1000</v>
      </c>
      <c r="U44" s="2"/>
      <c r="V44" s="7">
        <f t="shared" si="21"/>
        <v>0</v>
      </c>
      <c r="W44" s="2"/>
      <c r="X44" s="6">
        <f t="shared" si="22"/>
        <v>-1000</v>
      </c>
      <c r="Y44" s="2"/>
      <c r="Z44" s="7">
        <f t="shared" si="23"/>
        <v>-1</v>
      </c>
    </row>
    <row r="45" spans="1:26" s="28" customFormat="1" outlineLevel="1" collapsed="1" x14ac:dyDescent="0.3">
      <c r="A45" s="29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SUM(OSRRefD22_4x_0)</f>
        <v>76.569999999999993</v>
      </c>
      <c r="E45" s="1"/>
      <c r="F45" s="5">
        <f t="shared" ref="F45:F51" si="24">IF(D$12=0,0,D45/D$12)</f>
        <v>0</v>
      </c>
      <c r="G45" s="1"/>
      <c r="H45" s="1">
        <f>SUM(OSRRefH22_4x_0)</f>
        <v>75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1.5699999999999932</v>
      </c>
      <c r="M45" s="1"/>
      <c r="N45" s="5">
        <f t="shared" ref="N45:N51" si="27">IF(H45=0,0,L45/H45)</f>
        <v>2.0933333333333241E-2</v>
      </c>
      <c r="O45" s="14"/>
      <c r="P45" s="1">
        <f>SUM(OSRRefP22_4x_0)</f>
        <v>153.13999999999999</v>
      </c>
      <c r="Q45" s="1"/>
      <c r="R45" s="5">
        <f t="shared" ref="R45:R51" si="28">IF(P$12=0,0,P45/P$12)</f>
        <v>0</v>
      </c>
      <c r="S45" s="1"/>
      <c r="T45" s="1">
        <f>SUM(OSRRefT22_4x_0)</f>
        <v>150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3.1399999999999864</v>
      </c>
      <c r="Y45" s="1"/>
      <c r="Z45" s="5">
        <f t="shared" ref="Z45:Z51" si="31">IF(T45=0,0,X45/T45)</f>
        <v>2.0933333333333241E-2</v>
      </c>
    </row>
    <row r="46" spans="1:26" s="24" customFormat="1" hidden="1" outlineLevel="2" x14ac:dyDescent="0.3">
      <c r="A46" s="27"/>
      <c r="B46" s="11" t="str">
        <f>CONCATENATE("          ", "6314", " - ", "LIABILITY INSURANCE")</f>
        <v xml:space="preserve">          6314 - LIABILITY INSURANCE</v>
      </c>
      <c r="C46" s="11"/>
      <c r="D46" s="6">
        <v>76.569999999999993</v>
      </c>
      <c r="E46" s="2"/>
      <c r="F46" s="7">
        <f t="shared" si="24"/>
        <v>0</v>
      </c>
      <c r="G46" s="2"/>
      <c r="H46" s="6">
        <v>75</v>
      </c>
      <c r="I46" s="2"/>
      <c r="J46" s="7">
        <f t="shared" si="25"/>
        <v>0</v>
      </c>
      <c r="K46" s="2"/>
      <c r="L46" s="6">
        <f t="shared" si="26"/>
        <v>1.5699999999999932</v>
      </c>
      <c r="M46" s="2"/>
      <c r="N46" s="7">
        <f t="shared" si="27"/>
        <v>2.0933333333333241E-2</v>
      </c>
      <c r="O46" s="11"/>
      <c r="P46" s="6">
        <v>153.13999999999999</v>
      </c>
      <c r="Q46" s="2"/>
      <c r="R46" s="7">
        <f t="shared" si="28"/>
        <v>0</v>
      </c>
      <c r="S46" s="2"/>
      <c r="T46" s="6">
        <v>150</v>
      </c>
      <c r="U46" s="2"/>
      <c r="V46" s="7">
        <f t="shared" si="29"/>
        <v>0</v>
      </c>
      <c r="W46" s="2"/>
      <c r="X46" s="6">
        <f t="shared" si="30"/>
        <v>3.1399999999999864</v>
      </c>
      <c r="Y46" s="2"/>
      <c r="Z46" s="7">
        <f t="shared" si="31"/>
        <v>2.0933333333333241E-2</v>
      </c>
    </row>
    <row r="47" spans="1:26" s="28" customFormat="1" outlineLevel="1" collapsed="1" x14ac:dyDescent="0.3">
      <c r="A47" s="29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SUM(OSRRefD22_5x_0)</f>
        <v>8673.52</v>
      </c>
      <c r="E47" s="1"/>
      <c r="F47" s="5">
        <f t="shared" si="24"/>
        <v>0</v>
      </c>
      <c r="G47" s="1"/>
      <c r="H47" s="1">
        <f>SUM(OSRRefH22_5x_0)</f>
        <v>10467</v>
      </c>
      <c r="I47" s="1"/>
      <c r="J47" s="5">
        <f t="shared" si="25"/>
        <v>0</v>
      </c>
      <c r="K47" s="1"/>
      <c r="L47" s="1">
        <f t="shared" si="26"/>
        <v>-1793.4799999999996</v>
      </c>
      <c r="M47" s="1"/>
      <c r="N47" s="5">
        <f t="shared" si="27"/>
        <v>-0.17134613547339253</v>
      </c>
      <c r="O47" s="14"/>
      <c r="P47" s="1">
        <f>SUM(OSRRefP22_5x_0)</f>
        <v>18238.52</v>
      </c>
      <c r="Q47" s="1"/>
      <c r="R47" s="5">
        <f t="shared" si="28"/>
        <v>0</v>
      </c>
      <c r="S47" s="1"/>
      <c r="T47" s="1">
        <f>SUM(OSRRefT22_5x_0)</f>
        <v>23934</v>
      </c>
      <c r="U47" s="1"/>
      <c r="V47" s="5">
        <f t="shared" si="29"/>
        <v>0</v>
      </c>
      <c r="W47" s="1"/>
      <c r="X47" s="1">
        <f t="shared" si="30"/>
        <v>-5695.48</v>
      </c>
      <c r="Y47" s="1"/>
      <c r="Z47" s="5">
        <f t="shared" si="31"/>
        <v>-0.23796607336842984</v>
      </c>
    </row>
    <row r="48" spans="1:26" s="24" customFormat="1" hidden="1" outlineLevel="2" x14ac:dyDescent="0.3">
      <c r="A48" s="27"/>
      <c r="B48" s="11" t="str">
        <f>CONCATENATE("          ", "6371", " - ", "COMPUTER SOFTWARE MAINTENANCE")</f>
        <v xml:space="preserve">          6371 - COMPUTER SOFTWARE MAINTENANCE</v>
      </c>
      <c r="C48" s="11"/>
      <c r="D48" s="6">
        <v>1560</v>
      </c>
      <c r="E48" s="2"/>
      <c r="F48" s="7">
        <f t="shared" si="24"/>
        <v>0</v>
      </c>
      <c r="G48" s="2"/>
      <c r="H48" s="6">
        <v>1000</v>
      </c>
      <c r="I48" s="2"/>
      <c r="J48" s="7">
        <f t="shared" si="25"/>
        <v>0</v>
      </c>
      <c r="K48" s="2"/>
      <c r="L48" s="6">
        <f t="shared" si="26"/>
        <v>560</v>
      </c>
      <c r="M48" s="2"/>
      <c r="N48" s="7">
        <f t="shared" si="27"/>
        <v>0.56000000000000005</v>
      </c>
      <c r="O48" s="11"/>
      <c r="P48" s="6">
        <v>1659</v>
      </c>
      <c r="Q48" s="2"/>
      <c r="R48" s="7">
        <f t="shared" si="28"/>
        <v>0</v>
      </c>
      <c r="S48" s="2"/>
      <c r="T48" s="6">
        <v>2000</v>
      </c>
      <c r="U48" s="2"/>
      <c r="V48" s="7">
        <f t="shared" si="29"/>
        <v>0</v>
      </c>
      <c r="W48" s="2"/>
      <c r="X48" s="6">
        <f t="shared" si="30"/>
        <v>-341</v>
      </c>
      <c r="Y48" s="2"/>
      <c r="Z48" s="7">
        <f t="shared" si="31"/>
        <v>-0.17050000000000001</v>
      </c>
    </row>
    <row r="49" spans="1:26" s="24" customFormat="1" hidden="1" outlineLevel="2" x14ac:dyDescent="0.3">
      <c r="A49" s="27"/>
      <c r="B49" s="11" t="str">
        <f>CONCATENATE("          ", "6372", " - ", "COMPUTER HARDWARE MAINTENANCE")</f>
        <v xml:space="preserve">          6372 - COMPUTER HARDWARE MAINTENANCE</v>
      </c>
      <c r="C49" s="11"/>
      <c r="D49" s="6"/>
      <c r="E49" s="2"/>
      <c r="F49" s="7">
        <f t="shared" si="24"/>
        <v>0</v>
      </c>
      <c r="G49" s="2"/>
      <c r="H49" s="6">
        <v>0</v>
      </c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3000</v>
      </c>
      <c r="U49" s="2"/>
      <c r="V49" s="7">
        <f t="shared" si="29"/>
        <v>0</v>
      </c>
      <c r="W49" s="2"/>
      <c r="X49" s="6">
        <f t="shared" si="30"/>
        <v>-3000</v>
      </c>
      <c r="Y49" s="2"/>
      <c r="Z49" s="7">
        <f t="shared" si="31"/>
        <v>-1</v>
      </c>
    </row>
    <row r="50" spans="1:26" s="24" customFormat="1" hidden="1" outlineLevel="2" x14ac:dyDescent="0.3">
      <c r="A50" s="27"/>
      <c r="B50" s="11" t="str">
        <f>CONCATENATE("          ", "6373", " - ", "MAINTENANCE CONTRACTS")</f>
        <v xml:space="preserve">          6373 - MAINTENANCE CONTRACTS</v>
      </c>
      <c r="C50" s="11"/>
      <c r="D50" s="6">
        <v>7066</v>
      </c>
      <c r="E50" s="2"/>
      <c r="F50" s="7">
        <f t="shared" si="24"/>
        <v>0</v>
      </c>
      <c r="G50" s="2"/>
      <c r="H50" s="6">
        <v>9467</v>
      </c>
      <c r="I50" s="2"/>
      <c r="J50" s="7">
        <f t="shared" si="25"/>
        <v>0</v>
      </c>
      <c r="K50" s="2"/>
      <c r="L50" s="6">
        <f t="shared" si="26"/>
        <v>-2401</v>
      </c>
      <c r="M50" s="2"/>
      <c r="N50" s="7">
        <f t="shared" si="27"/>
        <v>-0.25361783035808599</v>
      </c>
      <c r="O50" s="11"/>
      <c r="P50" s="6">
        <v>16532</v>
      </c>
      <c r="Q50" s="2"/>
      <c r="R50" s="7">
        <f t="shared" si="28"/>
        <v>0</v>
      </c>
      <c r="S50" s="2"/>
      <c r="T50" s="6">
        <v>18934</v>
      </c>
      <c r="U50" s="2"/>
      <c r="V50" s="7">
        <f t="shared" si="29"/>
        <v>0</v>
      </c>
      <c r="W50" s="2"/>
      <c r="X50" s="6">
        <f t="shared" si="30"/>
        <v>-2402</v>
      </c>
      <c r="Y50" s="2"/>
      <c r="Z50" s="7">
        <f t="shared" si="31"/>
        <v>-0.12686173022076688</v>
      </c>
    </row>
    <row r="51" spans="1:26" s="24" customFormat="1" hidden="1" outlineLevel="2" x14ac:dyDescent="0.3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6">
        <v>47.52</v>
      </c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47.52</v>
      </c>
      <c r="M51" s="2"/>
      <c r="N51" s="7">
        <f t="shared" si="27"/>
        <v>0</v>
      </c>
      <c r="O51" s="11"/>
      <c r="P51" s="6">
        <v>47.52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47.52</v>
      </c>
      <c r="Y51" s="2"/>
      <c r="Z51" s="7">
        <f t="shared" si="31"/>
        <v>0</v>
      </c>
    </row>
    <row r="52" spans="1:26" s="28" customFormat="1" outlineLevel="1" collapsed="1" x14ac:dyDescent="0.3">
      <c r="A52" s="29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SUM(OSRRefD22_6x_0)</f>
        <v>0</v>
      </c>
      <c r="E52" s="1"/>
      <c r="F52" s="5">
        <f t="shared" ref="F52:F56" si="32">IF(D$12=0,0,D52/D$12)</f>
        <v>0</v>
      </c>
      <c r="G52" s="1"/>
      <c r="H52" s="1">
        <f>SUM(OSRRefH22_6x_0)</f>
        <v>100</v>
      </c>
      <c r="I52" s="1"/>
      <c r="J52" s="5">
        <f t="shared" ref="J52:J56" si="33">IF(H$12=0,0,H52/H$12)</f>
        <v>0</v>
      </c>
      <c r="K52" s="1"/>
      <c r="L52" s="1">
        <f t="shared" ref="L52:L56" si="34">+D52-H52</f>
        <v>-100</v>
      </c>
      <c r="M52" s="1"/>
      <c r="N52" s="5">
        <f t="shared" ref="N52:N56" si="35">IF(H52=0,0,L52/H52)</f>
        <v>-1</v>
      </c>
      <c r="O52" s="14"/>
      <c r="P52" s="1">
        <f>SUM(OSRRefP22_6x_0)</f>
        <v>336.92</v>
      </c>
      <c r="Q52" s="1"/>
      <c r="R52" s="5">
        <f t="shared" ref="R52:R56" si="36">IF(P$12=0,0,P52/P$12)</f>
        <v>0</v>
      </c>
      <c r="S52" s="1"/>
      <c r="T52" s="1">
        <f>SUM(OSRRefT22_6x_0)</f>
        <v>200</v>
      </c>
      <c r="U52" s="1"/>
      <c r="V52" s="5">
        <f t="shared" ref="V52:V56" si="37">IF(T$12=0,0,T52/T$12)</f>
        <v>0</v>
      </c>
      <c r="W52" s="1"/>
      <c r="X52" s="1">
        <f t="shared" ref="X52:X56" si="38">+P52-T52</f>
        <v>136.92000000000002</v>
      </c>
      <c r="Y52" s="1"/>
      <c r="Z52" s="5">
        <f t="shared" ref="Z52:Z56" si="39">IF(T52=0,0,X52/T52)</f>
        <v>0.6846000000000001</v>
      </c>
    </row>
    <row r="53" spans="1:26" s="24" customFormat="1" hidden="1" outlineLevel="2" x14ac:dyDescent="0.3">
      <c r="A53" s="27"/>
      <c r="B53" s="11" t="str">
        <f>CONCATENATE("          ", "6241", " - ", "OFFICE EXPENSE")</f>
        <v xml:space="preserve">          6241 - OFFICE EXPENSE</v>
      </c>
      <c r="C53" s="11"/>
      <c r="D53" s="6"/>
      <c r="E53" s="2"/>
      <c r="F53" s="7">
        <f t="shared" si="32"/>
        <v>0</v>
      </c>
      <c r="G53" s="2"/>
      <c r="H53" s="6">
        <v>100</v>
      </c>
      <c r="I53" s="2"/>
      <c r="J53" s="7">
        <f t="shared" si="33"/>
        <v>0</v>
      </c>
      <c r="K53" s="2"/>
      <c r="L53" s="6">
        <f t="shared" si="34"/>
        <v>-100</v>
      </c>
      <c r="M53" s="2"/>
      <c r="N53" s="7">
        <f t="shared" si="35"/>
        <v>-1</v>
      </c>
      <c r="O53" s="11"/>
      <c r="P53" s="6">
        <v>336.92</v>
      </c>
      <c r="Q53" s="2"/>
      <c r="R53" s="7">
        <f t="shared" si="36"/>
        <v>0</v>
      </c>
      <c r="S53" s="2"/>
      <c r="T53" s="6">
        <v>200</v>
      </c>
      <c r="U53" s="2"/>
      <c r="V53" s="7">
        <f t="shared" si="37"/>
        <v>0</v>
      </c>
      <c r="W53" s="2"/>
      <c r="X53" s="6">
        <f t="shared" si="38"/>
        <v>136.92000000000002</v>
      </c>
      <c r="Y53" s="2"/>
      <c r="Z53" s="7">
        <f t="shared" si="39"/>
        <v>0.6846000000000001</v>
      </c>
    </row>
    <row r="54" spans="1:26" s="28" customFormat="1" outlineLevel="1" collapsed="1" x14ac:dyDescent="0.3">
      <c r="A54" s="29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SUM(OSRRefD22_7x_0)</f>
        <v>803.53</v>
      </c>
      <c r="E54" s="1"/>
      <c r="F54" s="5">
        <f t="shared" si="32"/>
        <v>0</v>
      </c>
      <c r="G54" s="1"/>
      <c r="H54" s="1">
        <f>SUM(OSRRefH22_7x_0)</f>
        <v>500</v>
      </c>
      <c r="I54" s="1"/>
      <c r="J54" s="5">
        <f t="shared" si="33"/>
        <v>0</v>
      </c>
      <c r="K54" s="1"/>
      <c r="L54" s="1">
        <f t="shared" si="34"/>
        <v>303.52999999999997</v>
      </c>
      <c r="M54" s="1"/>
      <c r="N54" s="5">
        <f t="shared" si="35"/>
        <v>0.60705999999999993</v>
      </c>
      <c r="O54" s="14"/>
      <c r="P54" s="1">
        <f>SUM(OSRRefP22_7x_0)</f>
        <v>1717.21</v>
      </c>
      <c r="Q54" s="1"/>
      <c r="R54" s="5">
        <f t="shared" si="36"/>
        <v>0</v>
      </c>
      <c r="S54" s="1"/>
      <c r="T54" s="1">
        <f>SUM(OSRRefT22_7x_0)</f>
        <v>1000</v>
      </c>
      <c r="U54" s="1"/>
      <c r="V54" s="5">
        <f t="shared" si="37"/>
        <v>0</v>
      </c>
      <c r="W54" s="1"/>
      <c r="X54" s="1">
        <f t="shared" si="38"/>
        <v>717.21</v>
      </c>
      <c r="Y54" s="1"/>
      <c r="Z54" s="5">
        <f t="shared" si="39"/>
        <v>0.71721000000000001</v>
      </c>
    </row>
    <row r="55" spans="1:26" s="24" customFormat="1" hidden="1" outlineLevel="2" x14ac:dyDescent="0.3">
      <c r="A55" s="27"/>
      <c r="B55" s="11" t="str">
        <f>CONCATENATE("          ", "6303", " - ", "DATA PHONE LINES")</f>
        <v xml:space="preserve">          6303 - DATA PHONE LINES</v>
      </c>
      <c r="C55" s="11"/>
      <c r="D55" s="6">
        <v>161.97999999999999</v>
      </c>
      <c r="E55" s="2"/>
      <c r="F55" s="7">
        <f t="shared" si="32"/>
        <v>0</v>
      </c>
      <c r="G55" s="2"/>
      <c r="H55" s="6">
        <v>200</v>
      </c>
      <c r="I55" s="2"/>
      <c r="J55" s="7">
        <f t="shared" si="33"/>
        <v>0</v>
      </c>
      <c r="K55" s="2"/>
      <c r="L55" s="6">
        <f t="shared" si="34"/>
        <v>-38.02000000000001</v>
      </c>
      <c r="M55" s="2"/>
      <c r="N55" s="7">
        <f t="shared" si="35"/>
        <v>-0.19010000000000005</v>
      </c>
      <c r="O55" s="11"/>
      <c r="P55" s="6">
        <v>323.95999999999998</v>
      </c>
      <c r="Q55" s="2"/>
      <c r="R55" s="7">
        <f t="shared" si="36"/>
        <v>0</v>
      </c>
      <c r="S55" s="2"/>
      <c r="T55" s="6">
        <v>400</v>
      </c>
      <c r="U55" s="2"/>
      <c r="V55" s="7">
        <f t="shared" si="37"/>
        <v>0</v>
      </c>
      <c r="W55" s="2"/>
      <c r="X55" s="6">
        <f t="shared" si="38"/>
        <v>-76.04000000000002</v>
      </c>
      <c r="Y55" s="2"/>
      <c r="Z55" s="7">
        <f t="shared" si="39"/>
        <v>-0.19010000000000005</v>
      </c>
    </row>
    <row r="56" spans="1:26" s="24" customFormat="1" hidden="1" outlineLevel="2" x14ac:dyDescent="0.3">
      <c r="A56" s="27"/>
      <c r="B56" s="11" t="str">
        <f>CONCATENATE("          ", "6309", " - ", "TELEPHONE")</f>
        <v xml:space="preserve">          6309 - TELEPHONE</v>
      </c>
      <c r="C56" s="11"/>
      <c r="D56" s="6">
        <v>641.54999999999995</v>
      </c>
      <c r="E56" s="2"/>
      <c r="F56" s="7">
        <f t="shared" si="32"/>
        <v>0</v>
      </c>
      <c r="G56" s="2"/>
      <c r="H56" s="6">
        <v>300</v>
      </c>
      <c r="I56" s="2"/>
      <c r="J56" s="7">
        <f t="shared" si="33"/>
        <v>0</v>
      </c>
      <c r="K56" s="2"/>
      <c r="L56" s="6">
        <f t="shared" si="34"/>
        <v>341.54999999999995</v>
      </c>
      <c r="M56" s="2"/>
      <c r="N56" s="7">
        <f t="shared" si="35"/>
        <v>1.1384999999999998</v>
      </c>
      <c r="O56" s="11"/>
      <c r="P56" s="6">
        <v>1393.25</v>
      </c>
      <c r="Q56" s="2"/>
      <c r="R56" s="7">
        <f t="shared" si="36"/>
        <v>0</v>
      </c>
      <c r="S56" s="2"/>
      <c r="T56" s="6">
        <v>600</v>
      </c>
      <c r="U56" s="2"/>
      <c r="V56" s="7">
        <f t="shared" si="37"/>
        <v>0</v>
      </c>
      <c r="W56" s="2"/>
      <c r="X56" s="6">
        <f t="shared" si="38"/>
        <v>793.25</v>
      </c>
      <c r="Y56" s="2"/>
      <c r="Z56" s="7">
        <f t="shared" si="39"/>
        <v>1.3220833333333333</v>
      </c>
    </row>
    <row r="57" spans="1:26" s="53" customFormat="1" x14ac:dyDescent="0.3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3">
      <c r="A58" s="10"/>
      <c r="B58" s="25" t="s">
        <v>293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3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3">
      <c r="A60" s="10"/>
      <c r="B60" s="26" t="s">
        <v>277</v>
      </c>
      <c r="C60" s="26"/>
      <c r="D60" s="21">
        <f>+D16-D18+D58</f>
        <v>-43235.12</v>
      </c>
      <c r="E60" s="13"/>
      <c r="F60" s="20">
        <f>IF(D$12=0,0,D60/D$12)</f>
        <v>0</v>
      </c>
      <c r="G60" s="13"/>
      <c r="H60" s="21">
        <f>+H16-H18+H58</f>
        <v>-49159.666047384599</v>
      </c>
      <c r="I60" s="13"/>
      <c r="J60" s="20">
        <f>IF(H$12=0,0,H60/H$12)</f>
        <v>0</v>
      </c>
      <c r="K60" s="16"/>
      <c r="L60" s="21">
        <f>+D60-H60</f>
        <v>5924.546047384596</v>
      </c>
      <c r="M60" s="16"/>
      <c r="N60" s="20">
        <f>IF(H60=0,0,L60/H60)</f>
        <v>-0.12051640142701488</v>
      </c>
      <c r="O60" s="25"/>
      <c r="P60" s="21">
        <f>+P16-P18+P58</f>
        <v>-91089.110000000015</v>
      </c>
      <c r="Q60" s="13"/>
      <c r="R60" s="20">
        <f>IF(P$12=0,0,P60/P$12)</f>
        <v>0</v>
      </c>
      <c r="S60" s="13"/>
      <c r="T60" s="21">
        <f>+T16-T18+T58</f>
        <v>-108150.74860661534</v>
      </c>
      <c r="U60" s="13"/>
      <c r="V60" s="20">
        <f>IF(T$12=0,0,T60/T$12)</f>
        <v>0</v>
      </c>
      <c r="W60" s="16"/>
      <c r="X60" s="21">
        <f>+P60-T60</f>
        <v>17061.638606615321</v>
      </c>
      <c r="Y60" s="16"/>
      <c r="Z60" s="20">
        <f>IF(T60=0,0,X60/T60)</f>
        <v>-0.1577579334996087</v>
      </c>
    </row>
    <row r="61" spans="1:26" x14ac:dyDescent="0.3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">
      <c r="A62" s="52"/>
      <c r="B62" s="10" t="s">
        <v>128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3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" thickBot="1" x14ac:dyDescent="0.35">
      <c r="A64" s="10"/>
      <c r="B64" s="26" t="s">
        <v>126</v>
      </c>
      <c r="C64" s="26"/>
      <c r="D64" s="30">
        <f>+D60-D62</f>
        <v>-43235.12</v>
      </c>
      <c r="E64" s="13"/>
      <c r="F64" s="35">
        <f>IF(D$12=0,0,D64/D$12)</f>
        <v>0</v>
      </c>
      <c r="G64" s="13"/>
      <c r="H64" s="30">
        <f>+H60-H62</f>
        <v>-49159.666047384599</v>
      </c>
      <c r="I64" s="13"/>
      <c r="J64" s="35">
        <f>IF(H$12=0,0,H64/H$12)</f>
        <v>0</v>
      </c>
      <c r="K64" s="16"/>
      <c r="L64" s="30">
        <f>D64-H64</f>
        <v>5924.546047384596</v>
      </c>
      <c r="M64" s="16"/>
      <c r="N64" s="35">
        <f>IF(H64=0,0,L64/H64)</f>
        <v>-0.12051640142701488</v>
      </c>
      <c r="O64" s="25"/>
      <c r="P64" s="30">
        <f>+P60-P62</f>
        <v>-91089.110000000015</v>
      </c>
      <c r="Q64" s="13"/>
      <c r="R64" s="35">
        <f>IF(P$12=0,0,P64/P$12)</f>
        <v>0</v>
      </c>
      <c r="S64" s="13"/>
      <c r="T64" s="30">
        <f>+T60-T62</f>
        <v>-108150.74860661534</v>
      </c>
      <c r="U64" s="13"/>
      <c r="V64" s="35">
        <f>IF(T$12=0,0,T64/T$12)</f>
        <v>0</v>
      </c>
      <c r="W64" s="16"/>
      <c r="X64" s="30">
        <f>P64-T64</f>
        <v>17061.638606615321</v>
      </c>
      <c r="Y64" s="16"/>
      <c r="Z64" s="35">
        <f>IF(T64=0,0,X64/T64)</f>
        <v>-0.1577579334996087</v>
      </c>
    </row>
    <row r="65" spans="1:26" ht="15" thickTop="1" x14ac:dyDescent="0.3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3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" thickBot="1" x14ac:dyDescent="0.35">
      <c r="A67" s="10"/>
      <c r="B67" s="26" t="s">
        <v>294</v>
      </c>
      <c r="C67" s="26"/>
      <c r="D67" s="32">
        <f>SUM(D64:D66)</f>
        <v>-43235.12</v>
      </c>
      <c r="E67" s="13"/>
      <c r="F67" s="34">
        <f>IF(D$12=0,0,D67/D$12)</f>
        <v>0</v>
      </c>
      <c r="G67" s="13"/>
      <c r="H67" s="32">
        <f>SUM(H64:H66)</f>
        <v>-49159.666047384599</v>
      </c>
      <c r="I67" s="13"/>
      <c r="J67" s="34">
        <f>IF(H$12=0,0,H67/H$12)</f>
        <v>0</v>
      </c>
      <c r="K67" s="16"/>
      <c r="L67" s="32">
        <f>+D67-H67</f>
        <v>5924.546047384596</v>
      </c>
      <c r="M67" s="16"/>
      <c r="N67" s="34">
        <f>IF(H67=0,0,L67/H67)</f>
        <v>-0.12051640142701488</v>
      </c>
      <c r="O67" s="25"/>
      <c r="P67" s="32">
        <f>SUM(P64:P66)</f>
        <v>-91089.110000000015</v>
      </c>
      <c r="Q67" s="13"/>
      <c r="R67" s="34">
        <f>IF(P$12=0,0,P67/P$12)</f>
        <v>0</v>
      </c>
      <c r="S67" s="13"/>
      <c r="T67" s="32">
        <f>SUM(T64:T66)</f>
        <v>-108150.74860661534</v>
      </c>
      <c r="U67" s="13"/>
      <c r="V67" s="34">
        <f>IF(T$12=0,0,T67/T$12)</f>
        <v>0</v>
      </c>
      <c r="W67" s="16"/>
      <c r="X67" s="32">
        <f>+P67-T67</f>
        <v>17061.638606615321</v>
      </c>
      <c r="Y67" s="16"/>
      <c r="Z67" s="34">
        <f>IF(T67=0,0,X67/T67)</f>
        <v>-0.1577579334996087</v>
      </c>
    </row>
    <row r="68" spans="1:26" ht="15" thickTop="1" x14ac:dyDescent="0.3">
      <c r="A68" s="9"/>
      <c r="C68" s="9"/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3">
      <c r="A69" s="9"/>
      <c r="B69" s="61">
        <v>44470.835499687499</v>
      </c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3">
      <c r="A70" s="9"/>
      <c r="B70" s="58" t="s">
        <v>56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3">
      <c r="A71" s="9"/>
      <c r="B71" s="55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3"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","205", " - ", "Maintenance")</f>
        <v>Department 205 - Maintenance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7758.59</v>
      </c>
      <c r="E18" s="22"/>
      <c r="F18" s="31">
        <f t="shared" ref="F18:F28" si="0">IF(D$12=0,0,D18/D$12)</f>
        <v>0</v>
      </c>
      <c r="G18" s="22"/>
      <c r="H18" s="22">
        <f>SUM(OSRRefH22x_0)</f>
        <v>6887.9665799999993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870.62342000000081</v>
      </c>
      <c r="M18" s="4"/>
      <c r="N18" s="31">
        <f t="shared" ref="N18:N28" si="3">IF(H18=0,0,L18/H18)</f>
        <v>0.12639774161041312</v>
      </c>
      <c r="O18" s="10"/>
      <c r="P18" s="22">
        <f>SUM(OSRRefP22x_0)</f>
        <v>15942.27</v>
      </c>
      <c r="Q18" s="22"/>
      <c r="R18" s="31">
        <f t="shared" ref="R18:R28" si="4">IF(P$12=0,0,P18/P$12)</f>
        <v>0</v>
      </c>
      <c r="S18" s="22"/>
      <c r="T18" s="22">
        <f>SUM(OSRRefT22x_0)</f>
        <v>20201.674805000002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-4259.4048050000019</v>
      </c>
      <c r="Y18" s="4"/>
      <c r="Z18" s="31">
        <f t="shared" ref="Z18:Z28" si="7">IF(T18=0,0,X18/T18)</f>
        <v>-0.21084414268196125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2128.25</v>
      </c>
      <c r="E19" s="1"/>
      <c r="F19" s="5">
        <f t="shared" si="0"/>
        <v>0</v>
      </c>
      <c r="G19" s="1"/>
      <c r="H19" s="1">
        <f>SUM(OSRRefH22_0x_0)</f>
        <v>1854.7865799999997</v>
      </c>
      <c r="I19" s="1"/>
      <c r="J19" s="5">
        <f t="shared" si="1"/>
        <v>0</v>
      </c>
      <c r="K19" s="1"/>
      <c r="L19" s="1">
        <f t="shared" si="2"/>
        <v>273.46342000000027</v>
      </c>
      <c r="M19" s="1"/>
      <c r="N19" s="5">
        <f t="shared" si="3"/>
        <v>0.14743659618240298</v>
      </c>
      <c r="O19" s="14"/>
      <c r="P19" s="1">
        <f>SUM(OSRRefP22_0x_0)</f>
        <v>4298.82</v>
      </c>
      <c r="Q19" s="1"/>
      <c r="R19" s="5">
        <f t="shared" si="4"/>
        <v>0</v>
      </c>
      <c r="S19" s="1"/>
      <c r="T19" s="1">
        <f>SUM(OSRRefT22_0x_0)</f>
        <v>4129.5198049999999</v>
      </c>
      <c r="U19" s="1"/>
      <c r="V19" s="5">
        <f t="shared" si="5"/>
        <v>0</v>
      </c>
      <c r="W19" s="1"/>
      <c r="X19" s="1">
        <f t="shared" si="6"/>
        <v>169.3001949999998</v>
      </c>
      <c r="Y19" s="1"/>
      <c r="Z19" s="5">
        <f t="shared" si="7"/>
        <v>4.0997550077132953E-2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349.41</v>
      </c>
      <c r="E20" s="2"/>
      <c r="F20" s="7">
        <f t="shared" si="0"/>
        <v>0</v>
      </c>
      <c r="G20" s="2"/>
      <c r="H20" s="6">
        <v>331.06878</v>
      </c>
      <c r="I20" s="2"/>
      <c r="J20" s="7">
        <f t="shared" si="1"/>
        <v>0</v>
      </c>
      <c r="K20" s="2"/>
      <c r="L20" s="6">
        <f t="shared" si="2"/>
        <v>18.341220000000021</v>
      </c>
      <c r="M20" s="2"/>
      <c r="N20" s="7">
        <f t="shared" si="3"/>
        <v>5.5400028960749546E-2</v>
      </c>
      <c r="O20" s="11"/>
      <c r="P20" s="6">
        <v>668.33</v>
      </c>
      <c r="Q20" s="2"/>
      <c r="R20" s="7">
        <f t="shared" si="4"/>
        <v>0</v>
      </c>
      <c r="S20" s="2"/>
      <c r="T20" s="6">
        <v>744.90475500000002</v>
      </c>
      <c r="U20" s="2"/>
      <c r="V20" s="7">
        <f t="shared" si="5"/>
        <v>0</v>
      </c>
      <c r="W20" s="2"/>
      <c r="X20" s="6">
        <f t="shared" si="6"/>
        <v>-76.574754999999982</v>
      </c>
      <c r="Y20" s="2"/>
      <c r="Z20" s="7">
        <f t="shared" si="7"/>
        <v>-0.10279804832229858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246.05</v>
      </c>
      <c r="E21" s="2"/>
      <c r="F21" s="7">
        <f t="shared" si="0"/>
        <v>0</v>
      </c>
      <c r="G21" s="2"/>
      <c r="H21" s="6">
        <v>295.03320000000002</v>
      </c>
      <c r="I21" s="2"/>
      <c r="J21" s="7">
        <f t="shared" si="1"/>
        <v>0</v>
      </c>
      <c r="K21" s="2"/>
      <c r="L21" s="6">
        <f t="shared" si="2"/>
        <v>-48.983200000000011</v>
      </c>
      <c r="M21" s="2"/>
      <c r="N21" s="7">
        <f t="shared" si="3"/>
        <v>-0.16602606079586979</v>
      </c>
      <c r="O21" s="11"/>
      <c r="P21" s="6">
        <v>476.59</v>
      </c>
      <c r="Q21" s="2"/>
      <c r="R21" s="7">
        <f t="shared" si="4"/>
        <v>0</v>
      </c>
      <c r="S21" s="2"/>
      <c r="T21" s="6">
        <v>663.82470000000001</v>
      </c>
      <c r="U21" s="2"/>
      <c r="V21" s="7">
        <f t="shared" si="5"/>
        <v>0</v>
      </c>
      <c r="W21" s="2"/>
      <c r="X21" s="6">
        <f t="shared" si="6"/>
        <v>-187.23470000000003</v>
      </c>
      <c r="Y21" s="2"/>
      <c r="Z21" s="7">
        <f t="shared" si="7"/>
        <v>-0.28205443394920382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612</v>
      </c>
      <c r="I22" s="2"/>
      <c r="J22" s="7">
        <f t="shared" si="1"/>
        <v>0</v>
      </c>
      <c r="K22" s="2"/>
      <c r="L22" s="6">
        <f t="shared" si="2"/>
        <v>84.159999999999968</v>
      </c>
      <c r="M22" s="2"/>
      <c r="N22" s="7">
        <f t="shared" si="3"/>
        <v>0.137516339869281</v>
      </c>
      <c r="O22" s="11"/>
      <c r="P22" s="6">
        <v>1392.32</v>
      </c>
      <c r="Q22" s="2"/>
      <c r="R22" s="7">
        <f t="shared" si="4"/>
        <v>0</v>
      </c>
      <c r="S22" s="2"/>
      <c r="T22" s="6">
        <v>1377</v>
      </c>
      <c r="U22" s="2"/>
      <c r="V22" s="7">
        <f t="shared" si="5"/>
        <v>0</v>
      </c>
      <c r="W22" s="2"/>
      <c r="X22" s="6">
        <f t="shared" si="6"/>
        <v>15.319999999999936</v>
      </c>
      <c r="Y22" s="2"/>
      <c r="Z22" s="7">
        <f t="shared" si="7"/>
        <v>1.1125635439360883E-2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11.57</v>
      </c>
      <c r="E23" s="2"/>
      <c r="F23" s="7">
        <f t="shared" si="0"/>
        <v>0</v>
      </c>
      <c r="G23" s="2"/>
      <c r="H23" s="6">
        <v>9.0846</v>
      </c>
      <c r="I23" s="2"/>
      <c r="J23" s="7">
        <f t="shared" si="1"/>
        <v>0</v>
      </c>
      <c r="K23" s="2"/>
      <c r="L23" s="6">
        <f t="shared" si="2"/>
        <v>2.4854000000000003</v>
      </c>
      <c r="M23" s="2"/>
      <c r="N23" s="7">
        <f t="shared" si="3"/>
        <v>0.27358386720383948</v>
      </c>
      <c r="O23" s="11"/>
      <c r="P23" s="6">
        <v>22.41</v>
      </c>
      <c r="Q23" s="2"/>
      <c r="R23" s="7">
        <f t="shared" si="4"/>
        <v>0</v>
      </c>
      <c r="S23" s="2"/>
      <c r="T23" s="6">
        <v>20.440349999999999</v>
      </c>
      <c r="U23" s="2"/>
      <c r="V23" s="7">
        <f t="shared" si="5"/>
        <v>0</v>
      </c>
      <c r="W23" s="2"/>
      <c r="X23" s="6">
        <f t="shared" si="6"/>
        <v>1.9696500000000015</v>
      </c>
      <c r="Y23" s="2"/>
      <c r="Z23" s="7">
        <f t="shared" si="7"/>
        <v>9.6360874446866196E-2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456.93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456.93</v>
      </c>
      <c r="M24" s="2"/>
      <c r="N24" s="7">
        <f t="shared" si="3"/>
        <v>0</v>
      </c>
      <c r="O24" s="11"/>
      <c r="P24" s="6">
        <v>913.86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913.86</v>
      </c>
      <c r="Y24" s="2"/>
      <c r="Z24" s="7">
        <f t="shared" si="7"/>
        <v>0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346.08</v>
      </c>
      <c r="I26" s="2"/>
      <c r="J26" s="7">
        <f t="shared" si="1"/>
        <v>0</v>
      </c>
      <c r="K26" s="2"/>
      <c r="L26" s="6">
        <f t="shared" si="2"/>
        <v>-346.08</v>
      </c>
      <c r="M26" s="2"/>
      <c r="N26" s="7">
        <f t="shared" si="3"/>
        <v>-1</v>
      </c>
      <c r="O26" s="11"/>
      <c r="P26" s="6">
        <v>88.46</v>
      </c>
      <c r="Q26" s="2"/>
      <c r="R26" s="7">
        <f t="shared" si="4"/>
        <v>0</v>
      </c>
      <c r="S26" s="2"/>
      <c r="T26" s="6">
        <v>778.68</v>
      </c>
      <c r="U26" s="2"/>
      <c r="V26" s="7">
        <f t="shared" si="5"/>
        <v>0</v>
      </c>
      <c r="W26" s="2"/>
      <c r="X26" s="6">
        <f t="shared" si="6"/>
        <v>-690.21999999999991</v>
      </c>
      <c r="Y26" s="2"/>
      <c r="Z26" s="7">
        <f t="shared" si="7"/>
        <v>-0.88639749319360961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193.72</v>
      </c>
      <c r="E27" s="2"/>
      <c r="F27" s="7">
        <f t="shared" si="0"/>
        <v>0</v>
      </c>
      <c r="G27" s="2"/>
      <c r="H27" s="6">
        <v>86.52</v>
      </c>
      <c r="I27" s="2"/>
      <c r="J27" s="7">
        <f t="shared" si="1"/>
        <v>0</v>
      </c>
      <c r="K27" s="2"/>
      <c r="L27" s="6">
        <f t="shared" si="2"/>
        <v>107.2</v>
      </c>
      <c r="M27" s="2"/>
      <c r="N27" s="7">
        <f t="shared" si="3"/>
        <v>1.239019879796579</v>
      </c>
      <c r="O27" s="11"/>
      <c r="P27" s="6">
        <v>387.44</v>
      </c>
      <c r="Q27" s="2"/>
      <c r="R27" s="7">
        <f t="shared" si="4"/>
        <v>0</v>
      </c>
      <c r="S27" s="2"/>
      <c r="T27" s="6">
        <v>194.67</v>
      </c>
      <c r="U27" s="2"/>
      <c r="V27" s="7">
        <f t="shared" si="5"/>
        <v>0</v>
      </c>
      <c r="W27" s="2"/>
      <c r="X27" s="6">
        <f t="shared" si="6"/>
        <v>192.77</v>
      </c>
      <c r="Y27" s="2"/>
      <c r="Z27" s="7">
        <f t="shared" si="7"/>
        <v>0.99023989315251459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174.41</v>
      </c>
      <c r="E28" s="2"/>
      <c r="F28" s="7">
        <f t="shared" si="0"/>
        <v>0</v>
      </c>
      <c r="G28" s="2"/>
      <c r="H28" s="6">
        <v>175</v>
      </c>
      <c r="I28" s="2"/>
      <c r="J28" s="7">
        <f t="shared" si="1"/>
        <v>0</v>
      </c>
      <c r="K28" s="2"/>
      <c r="L28" s="6">
        <f t="shared" si="2"/>
        <v>-0.59000000000000341</v>
      </c>
      <c r="M28" s="2"/>
      <c r="N28" s="7">
        <f t="shared" si="3"/>
        <v>-3.3714285714285907E-3</v>
      </c>
      <c r="O28" s="11"/>
      <c r="P28" s="6">
        <v>349.41</v>
      </c>
      <c r="Q28" s="2"/>
      <c r="R28" s="7">
        <f t="shared" si="4"/>
        <v>0</v>
      </c>
      <c r="S28" s="2"/>
      <c r="T28" s="6">
        <v>350</v>
      </c>
      <c r="U28" s="2"/>
      <c r="V28" s="7">
        <f t="shared" si="5"/>
        <v>0</v>
      </c>
      <c r="W28" s="2"/>
      <c r="X28" s="6">
        <f t="shared" si="6"/>
        <v>-0.58999999999997499</v>
      </c>
      <c r="Y28" s="2"/>
      <c r="Z28" s="7">
        <f t="shared" si="7"/>
        <v>-1.6857142857142143E-3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4554.12</v>
      </c>
      <c r="E29" s="1"/>
      <c r="F29" s="5">
        <f t="shared" ref="F29:F39" si="8">IF(D$12=0,0,D29/D$12)</f>
        <v>0</v>
      </c>
      <c r="G29" s="1"/>
      <c r="H29" s="1">
        <f>SUM(OSRRefH22_1x_0)</f>
        <v>4023.18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530.94000000000005</v>
      </c>
      <c r="M29" s="1"/>
      <c r="N29" s="5">
        <f t="shared" ref="N29:N39" si="11">IF(H29=0,0,L29/H29)</f>
        <v>0.13197023250264717</v>
      </c>
      <c r="O29" s="14"/>
      <c r="P29" s="1">
        <f>SUM(OSRRefP22_1x_0)</f>
        <v>9593.8700000000008</v>
      </c>
      <c r="Q29" s="1"/>
      <c r="R29" s="5">
        <f t="shared" ref="R29:R39" si="12">IF(P$12=0,0,P29/P$12)</f>
        <v>0</v>
      </c>
      <c r="S29" s="1"/>
      <c r="T29" s="1">
        <f>SUM(OSRRefT22_1x_0)</f>
        <v>9052.1550000000007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541.71500000000015</v>
      </c>
      <c r="Y29" s="1"/>
      <c r="Z29" s="5">
        <f t="shared" ref="Z29:Z39" si="15">IF(T29=0,0,X29/T29)</f>
        <v>5.9843760960787799E-2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>
        <v>4554.12</v>
      </c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4554.12</v>
      </c>
      <c r="M31" s="2"/>
      <c r="N31" s="7">
        <f t="shared" si="11"/>
        <v>0</v>
      </c>
      <c r="O31" s="11"/>
      <c r="P31" s="6">
        <v>9593.8700000000008</v>
      </c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9593.8700000000008</v>
      </c>
      <c r="Y31" s="2"/>
      <c r="Z31" s="7">
        <f t="shared" si="15"/>
        <v>0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4023.18</v>
      </c>
      <c r="I33" s="2"/>
      <c r="J33" s="7">
        <f t="shared" si="9"/>
        <v>0</v>
      </c>
      <c r="K33" s="2"/>
      <c r="L33" s="6">
        <f t="shared" si="10"/>
        <v>-4023.18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9052.1550000000007</v>
      </c>
      <c r="U33" s="2"/>
      <c r="V33" s="7">
        <f t="shared" si="13"/>
        <v>0</v>
      </c>
      <c r="W33" s="2"/>
      <c r="X33" s="6">
        <f t="shared" si="14"/>
        <v>-9052.1550000000007</v>
      </c>
      <c r="Y33" s="2"/>
      <c r="Z33" s="7">
        <f t="shared" si="15"/>
        <v>-1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9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0</v>
      </c>
      <c r="Y40" s="1"/>
      <c r="Z40" s="5">
        <f t="shared" ref="Z40:Z46" si="23">IF(T40=0,0,X40/T40)</f>
        <v>0</v>
      </c>
    </row>
    <row r="41" spans="1:26" s="24" customFormat="1" hidden="1" outlineLevel="2" x14ac:dyDescent="0.3">
      <c r="A41" s="27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>
        <v>0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8" customFormat="1" outlineLevel="1" collapsed="1" x14ac:dyDescent="0.3">
      <c r="A42" s="29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33.380000000000003</v>
      </c>
      <c r="E42" s="1"/>
      <c r="F42" s="5">
        <f t="shared" si="16"/>
        <v>0</v>
      </c>
      <c r="G42" s="1"/>
      <c r="H42" s="1">
        <f>SUM(OSRRefH22_3x_0)</f>
        <v>35</v>
      </c>
      <c r="I42" s="1"/>
      <c r="J42" s="5">
        <f t="shared" si="17"/>
        <v>0</v>
      </c>
      <c r="K42" s="1"/>
      <c r="L42" s="1">
        <f t="shared" si="18"/>
        <v>-1.6199999999999974</v>
      </c>
      <c r="M42" s="1"/>
      <c r="N42" s="5">
        <f t="shared" si="19"/>
        <v>-4.6285714285714215E-2</v>
      </c>
      <c r="O42" s="14"/>
      <c r="P42" s="1">
        <f>SUM(OSRRefP22_3x_0)</f>
        <v>66.760000000000005</v>
      </c>
      <c r="Q42" s="1"/>
      <c r="R42" s="5">
        <f t="shared" si="20"/>
        <v>0</v>
      </c>
      <c r="S42" s="1"/>
      <c r="T42" s="1">
        <f>SUM(OSRRefT22_3x_0)</f>
        <v>70</v>
      </c>
      <c r="U42" s="1"/>
      <c r="V42" s="5">
        <f t="shared" si="21"/>
        <v>0</v>
      </c>
      <c r="W42" s="1"/>
      <c r="X42" s="1">
        <f t="shared" si="22"/>
        <v>-3.2399999999999949</v>
      </c>
      <c r="Y42" s="1"/>
      <c r="Z42" s="5">
        <f t="shared" si="23"/>
        <v>-4.6285714285714215E-2</v>
      </c>
    </row>
    <row r="43" spans="1:26" s="24" customFormat="1" hidden="1" outlineLevel="2" x14ac:dyDescent="0.3">
      <c r="A43" s="27"/>
      <c r="B43" s="11" t="str">
        <f>CONCATENATE("          ", "6314", " - ", "LIABILITY INSURANCE")</f>
        <v xml:space="preserve">          6314 - LIABILITY INSURANCE</v>
      </c>
      <c r="C43" s="11"/>
      <c r="D43" s="6">
        <v>33.380000000000003</v>
      </c>
      <c r="E43" s="2"/>
      <c r="F43" s="7">
        <f t="shared" si="16"/>
        <v>0</v>
      </c>
      <c r="G43" s="2"/>
      <c r="H43" s="6">
        <v>35</v>
      </c>
      <c r="I43" s="2"/>
      <c r="J43" s="7">
        <f t="shared" si="17"/>
        <v>0</v>
      </c>
      <c r="K43" s="2"/>
      <c r="L43" s="6">
        <f t="shared" si="18"/>
        <v>-1.6199999999999974</v>
      </c>
      <c r="M43" s="2"/>
      <c r="N43" s="7">
        <f t="shared" si="19"/>
        <v>-4.6285714285714215E-2</v>
      </c>
      <c r="O43" s="11"/>
      <c r="P43" s="6">
        <v>66.760000000000005</v>
      </c>
      <c r="Q43" s="2"/>
      <c r="R43" s="7">
        <f t="shared" si="20"/>
        <v>0</v>
      </c>
      <c r="S43" s="2"/>
      <c r="T43" s="6">
        <v>70</v>
      </c>
      <c r="U43" s="2"/>
      <c r="V43" s="7">
        <f t="shared" si="21"/>
        <v>0</v>
      </c>
      <c r="W43" s="2"/>
      <c r="X43" s="6">
        <f t="shared" si="22"/>
        <v>-3.2399999999999949</v>
      </c>
      <c r="Y43" s="2"/>
      <c r="Z43" s="7">
        <f t="shared" si="23"/>
        <v>-4.6285714285714215E-2</v>
      </c>
    </row>
    <row r="44" spans="1:26" s="28" customFormat="1" outlineLevel="1" collapsed="1" x14ac:dyDescent="0.3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918.74</v>
      </c>
      <c r="E44" s="1"/>
      <c r="F44" s="5">
        <f t="shared" si="16"/>
        <v>0</v>
      </c>
      <c r="G44" s="1"/>
      <c r="H44" s="1">
        <f>SUM(OSRRefH22_4x_0)</f>
        <v>800</v>
      </c>
      <c r="I44" s="1"/>
      <c r="J44" s="5">
        <f t="shared" si="17"/>
        <v>0</v>
      </c>
      <c r="K44" s="1"/>
      <c r="L44" s="1">
        <f t="shared" si="18"/>
        <v>118.74000000000001</v>
      </c>
      <c r="M44" s="1"/>
      <c r="N44" s="5">
        <f t="shared" si="19"/>
        <v>0.148425</v>
      </c>
      <c r="O44" s="14"/>
      <c r="P44" s="1">
        <f>SUM(OSRRefP22_4x_0)</f>
        <v>1810.72</v>
      </c>
      <c r="Q44" s="1"/>
      <c r="R44" s="5">
        <f t="shared" si="20"/>
        <v>0</v>
      </c>
      <c r="S44" s="1"/>
      <c r="T44" s="1">
        <f>SUM(OSRRefT22_4x_0)</f>
        <v>1600</v>
      </c>
      <c r="U44" s="1"/>
      <c r="V44" s="5">
        <f t="shared" si="21"/>
        <v>0</v>
      </c>
      <c r="W44" s="1"/>
      <c r="X44" s="1">
        <f t="shared" si="22"/>
        <v>210.72000000000003</v>
      </c>
      <c r="Y44" s="1"/>
      <c r="Z44" s="5">
        <f t="shared" si="23"/>
        <v>0.13170000000000001</v>
      </c>
    </row>
    <row r="45" spans="1:26" s="24" customFormat="1" hidden="1" outlineLevel="2" x14ac:dyDescent="0.3">
      <c r="A45" s="27"/>
      <c r="B45" s="11" t="str">
        <f>CONCATENATE("          ", "6373", " - ", "MAINTENANCE CONTRACTS")</f>
        <v xml:space="preserve">          6373 - MAINTENANCE CONTRACTS</v>
      </c>
      <c r="C45" s="11"/>
      <c r="D45" s="6">
        <v>918.74</v>
      </c>
      <c r="E45" s="2"/>
      <c r="F45" s="7">
        <f t="shared" si="16"/>
        <v>0</v>
      </c>
      <c r="G45" s="2"/>
      <c r="H45" s="6">
        <v>800</v>
      </c>
      <c r="I45" s="2"/>
      <c r="J45" s="7">
        <f t="shared" si="17"/>
        <v>0</v>
      </c>
      <c r="K45" s="2"/>
      <c r="L45" s="6">
        <f t="shared" si="18"/>
        <v>118.74000000000001</v>
      </c>
      <c r="M45" s="2"/>
      <c r="N45" s="7">
        <f t="shared" si="19"/>
        <v>0.148425</v>
      </c>
      <c r="O45" s="11"/>
      <c r="P45" s="6">
        <v>1810.72</v>
      </c>
      <c r="Q45" s="2"/>
      <c r="R45" s="7">
        <f t="shared" si="20"/>
        <v>0</v>
      </c>
      <c r="S45" s="2"/>
      <c r="T45" s="6">
        <v>1600</v>
      </c>
      <c r="U45" s="2"/>
      <c r="V45" s="7">
        <f t="shared" si="21"/>
        <v>0</v>
      </c>
      <c r="W45" s="2"/>
      <c r="X45" s="6">
        <f t="shared" si="22"/>
        <v>210.72000000000003</v>
      </c>
      <c r="Y45" s="2"/>
      <c r="Z45" s="7">
        <f t="shared" si="23"/>
        <v>0.13170000000000001</v>
      </c>
    </row>
    <row r="46" spans="1:26" s="24" customFormat="1" hidden="1" outlineLevel="2" x14ac:dyDescent="0.3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6">
        <v>0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0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0</v>
      </c>
      <c r="Y46" s="2"/>
      <c r="Z46" s="7">
        <f t="shared" si="23"/>
        <v>0</v>
      </c>
    </row>
    <row r="47" spans="1:26" s="28" customFormat="1" outlineLevel="1" collapsed="1" x14ac:dyDescent="0.3">
      <c r="A47" s="29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2" si="24">IF(D$12=0,0,D47/D$12)</f>
        <v>0</v>
      </c>
      <c r="G47" s="1"/>
      <c r="H47" s="1">
        <f>SUM(OSRRefH22_5x_0)</f>
        <v>25</v>
      </c>
      <c r="I47" s="1"/>
      <c r="J47" s="5">
        <f t="shared" ref="J47:J52" si="25">IF(H$12=0,0,H47/H$12)</f>
        <v>0</v>
      </c>
      <c r="K47" s="1"/>
      <c r="L47" s="1">
        <f t="shared" ref="L47:L52" si="26">+D47-H47</f>
        <v>-25</v>
      </c>
      <c r="M47" s="1"/>
      <c r="N47" s="5">
        <f t="shared" ref="N47:N52" si="27">IF(H47=0,0,L47/H47)</f>
        <v>-1</v>
      </c>
      <c r="O47" s="14"/>
      <c r="P47" s="1">
        <f>SUM(OSRRefP22_5x_0)</f>
        <v>0</v>
      </c>
      <c r="Q47" s="1"/>
      <c r="R47" s="5">
        <f t="shared" ref="R47:R52" si="28">IF(P$12=0,0,P47/P$12)</f>
        <v>0</v>
      </c>
      <c r="S47" s="1"/>
      <c r="T47" s="1">
        <f>SUM(OSRRefT22_5x_0)</f>
        <v>50</v>
      </c>
      <c r="U47" s="1"/>
      <c r="V47" s="5">
        <f t="shared" ref="V47:V52" si="29">IF(T$12=0,0,T47/T$12)</f>
        <v>0</v>
      </c>
      <c r="W47" s="1"/>
      <c r="X47" s="1">
        <f t="shared" ref="X47:X52" si="30">+P47-T47</f>
        <v>-50</v>
      </c>
      <c r="Y47" s="1"/>
      <c r="Z47" s="5">
        <f t="shared" ref="Z47:Z52" si="31">IF(T47=0,0,X47/T47)</f>
        <v>-1</v>
      </c>
    </row>
    <row r="48" spans="1:26" s="24" customFormat="1" hidden="1" outlineLevel="2" x14ac:dyDescent="0.3">
      <c r="A48" s="27"/>
      <c r="B48" s="11" t="str">
        <f>CONCATENATE("          ", "6286", " - ", "LAUNDRY EXPENSE")</f>
        <v xml:space="preserve">          6286 - LAUNDRY EXPENSE</v>
      </c>
      <c r="C48" s="11"/>
      <c r="D48" s="6"/>
      <c r="E48" s="2"/>
      <c r="F48" s="7">
        <f t="shared" si="24"/>
        <v>0</v>
      </c>
      <c r="G48" s="2"/>
      <c r="H48" s="6">
        <v>25</v>
      </c>
      <c r="I48" s="2"/>
      <c r="J48" s="7">
        <f t="shared" si="25"/>
        <v>0</v>
      </c>
      <c r="K48" s="2"/>
      <c r="L48" s="6">
        <f t="shared" si="26"/>
        <v>-25</v>
      </c>
      <c r="M48" s="2"/>
      <c r="N48" s="7">
        <f t="shared" si="27"/>
        <v>-1</v>
      </c>
      <c r="O48" s="11"/>
      <c r="P48" s="6"/>
      <c r="Q48" s="2"/>
      <c r="R48" s="7">
        <f t="shared" si="28"/>
        <v>0</v>
      </c>
      <c r="S48" s="2"/>
      <c r="T48" s="6">
        <v>50</v>
      </c>
      <c r="U48" s="2"/>
      <c r="V48" s="7">
        <f t="shared" si="29"/>
        <v>0</v>
      </c>
      <c r="W48" s="2"/>
      <c r="X48" s="6">
        <f t="shared" si="30"/>
        <v>-50</v>
      </c>
      <c r="Y48" s="2"/>
      <c r="Z48" s="7">
        <f t="shared" si="31"/>
        <v>-1</v>
      </c>
    </row>
    <row r="49" spans="1:26" s="28" customFormat="1" outlineLevel="1" collapsed="1" x14ac:dyDescent="0.3">
      <c r="A49" s="29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26.1</v>
      </c>
      <c r="E49" s="1"/>
      <c r="F49" s="5">
        <f t="shared" si="24"/>
        <v>0</v>
      </c>
      <c r="G49" s="1"/>
      <c r="H49" s="1">
        <f>SUM(OSRRefH22_6x_0)</f>
        <v>25</v>
      </c>
      <c r="I49" s="1"/>
      <c r="J49" s="5">
        <f t="shared" si="25"/>
        <v>0</v>
      </c>
      <c r="K49" s="1"/>
      <c r="L49" s="1">
        <f t="shared" si="26"/>
        <v>1.1000000000000014</v>
      </c>
      <c r="M49" s="1"/>
      <c r="N49" s="5">
        <f t="shared" si="27"/>
        <v>4.400000000000006E-2</v>
      </c>
      <c r="O49" s="14"/>
      <c r="P49" s="1">
        <f>SUM(OSRRefP22_6x_0)</f>
        <v>26.1</v>
      </c>
      <c r="Q49" s="1"/>
      <c r="R49" s="5">
        <f t="shared" si="28"/>
        <v>0</v>
      </c>
      <c r="S49" s="1"/>
      <c r="T49" s="1">
        <f>SUM(OSRRefT22_6x_0)</f>
        <v>5050</v>
      </c>
      <c r="U49" s="1"/>
      <c r="V49" s="5">
        <f t="shared" si="29"/>
        <v>0</v>
      </c>
      <c r="W49" s="1"/>
      <c r="X49" s="1">
        <f t="shared" si="30"/>
        <v>-5023.8999999999996</v>
      </c>
      <c r="Y49" s="1"/>
      <c r="Z49" s="5">
        <f t="shared" si="31"/>
        <v>-0.99483168316831672</v>
      </c>
    </row>
    <row r="50" spans="1:26" s="24" customFormat="1" hidden="1" outlineLevel="2" x14ac:dyDescent="0.3">
      <c r="A50" s="27"/>
      <c r="B50" s="11" t="str">
        <f>CONCATENATE("          ", "6234", " - ", "EXPENDABLE SUPPLIES &amp; EQUIPMEN")</f>
        <v xml:space="preserve">          6234 - EXPENDABLE SUPPLIES &amp; EQUIPMEN</v>
      </c>
      <c r="C50" s="11"/>
      <c r="D50" s="6">
        <v>26.1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26.1</v>
      </c>
      <c r="M50" s="2"/>
      <c r="N50" s="7">
        <f t="shared" si="27"/>
        <v>0</v>
      </c>
      <c r="O50" s="11"/>
      <c r="P50" s="6">
        <v>26.1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26.1</v>
      </c>
      <c r="Y50" s="2"/>
      <c r="Z50" s="7">
        <f t="shared" si="31"/>
        <v>0</v>
      </c>
    </row>
    <row r="51" spans="1:26" s="24" customFormat="1" hidden="1" outlineLevel="2" x14ac:dyDescent="0.3">
      <c r="A51" s="27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24"/>
        <v>0</v>
      </c>
      <c r="G51" s="2"/>
      <c r="H51" s="6">
        <v>25</v>
      </c>
      <c r="I51" s="2"/>
      <c r="J51" s="7">
        <f t="shared" si="25"/>
        <v>0</v>
      </c>
      <c r="K51" s="2"/>
      <c r="L51" s="6">
        <f t="shared" si="26"/>
        <v>-25</v>
      </c>
      <c r="M51" s="2"/>
      <c r="N51" s="7">
        <f t="shared" si="27"/>
        <v>-1</v>
      </c>
      <c r="O51" s="11"/>
      <c r="P51" s="6"/>
      <c r="Q51" s="2"/>
      <c r="R51" s="7">
        <f t="shared" si="28"/>
        <v>0</v>
      </c>
      <c r="S51" s="2"/>
      <c r="T51" s="6">
        <v>50</v>
      </c>
      <c r="U51" s="2"/>
      <c r="V51" s="7">
        <f t="shared" si="29"/>
        <v>0</v>
      </c>
      <c r="W51" s="2"/>
      <c r="X51" s="6">
        <f t="shared" si="30"/>
        <v>-50</v>
      </c>
      <c r="Y51" s="2"/>
      <c r="Z51" s="7">
        <f t="shared" si="31"/>
        <v>-1</v>
      </c>
    </row>
    <row r="52" spans="1:26" s="24" customFormat="1" hidden="1" outlineLevel="2" x14ac:dyDescent="0.3">
      <c r="A52" s="27"/>
      <c r="B52" s="11" t="str">
        <f>CONCATENATE("          ", "6247", " - ", "STORE SUPPLIES")</f>
        <v xml:space="preserve">          6247 - STORE SUPPLIES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/>
      <c r="Q52" s="2"/>
      <c r="R52" s="7">
        <f t="shared" si="28"/>
        <v>0</v>
      </c>
      <c r="S52" s="2"/>
      <c r="T52" s="6">
        <v>5000</v>
      </c>
      <c r="U52" s="2"/>
      <c r="V52" s="7">
        <f t="shared" si="29"/>
        <v>0</v>
      </c>
      <c r="W52" s="2"/>
      <c r="X52" s="6">
        <f t="shared" si="30"/>
        <v>-5000</v>
      </c>
      <c r="Y52" s="2"/>
      <c r="Z52" s="7">
        <f t="shared" si="31"/>
        <v>-1</v>
      </c>
    </row>
    <row r="53" spans="1:26" s="28" customFormat="1" outlineLevel="1" collapsed="1" x14ac:dyDescent="0.3">
      <c r="A53" s="29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98</v>
      </c>
      <c r="E53" s="1"/>
      <c r="F53" s="5">
        <f t="shared" ref="F53:F54" si="32">IF(D$12=0,0,D53/D$12)</f>
        <v>0</v>
      </c>
      <c r="G53" s="1"/>
      <c r="H53" s="1">
        <f>SUM(OSRRefH22_7x_0)</f>
        <v>125</v>
      </c>
      <c r="I53" s="1"/>
      <c r="J53" s="5">
        <f t="shared" ref="J53:J54" si="33">IF(H$12=0,0,H53/H$12)</f>
        <v>0</v>
      </c>
      <c r="K53" s="1"/>
      <c r="L53" s="1">
        <f t="shared" ref="L53:L54" si="34">+D53-H53</f>
        <v>-27</v>
      </c>
      <c r="M53" s="1"/>
      <c r="N53" s="5">
        <f t="shared" ref="N53:N54" si="35">IF(H53=0,0,L53/H53)</f>
        <v>-0.216</v>
      </c>
      <c r="O53" s="14"/>
      <c r="P53" s="1">
        <f>SUM(OSRRefP22_7x_0)</f>
        <v>146</v>
      </c>
      <c r="Q53" s="1"/>
      <c r="R53" s="5">
        <f t="shared" ref="R53:R54" si="36">IF(P$12=0,0,P53/P$12)</f>
        <v>0</v>
      </c>
      <c r="S53" s="1"/>
      <c r="T53" s="1">
        <f>SUM(OSRRefT22_7x_0)</f>
        <v>250</v>
      </c>
      <c r="U53" s="1"/>
      <c r="V53" s="5">
        <f t="shared" ref="V53:V54" si="37">IF(T$12=0,0,T53/T$12)</f>
        <v>0</v>
      </c>
      <c r="W53" s="1"/>
      <c r="X53" s="1">
        <f t="shared" ref="X53:X54" si="38">+P53-T53</f>
        <v>-104</v>
      </c>
      <c r="Y53" s="1"/>
      <c r="Z53" s="5">
        <f t="shared" ref="Z53:Z54" si="39">IF(T53=0,0,X53/T53)</f>
        <v>-0.41599999999999998</v>
      </c>
    </row>
    <row r="54" spans="1:26" s="24" customFormat="1" hidden="1" outlineLevel="2" x14ac:dyDescent="0.3">
      <c r="A54" s="27"/>
      <c r="B54" s="11" t="str">
        <f>CONCATENATE("          ", "6309", " - ", "TELEPHONE")</f>
        <v xml:space="preserve">          6309 - TELEPHONE</v>
      </c>
      <c r="C54" s="11"/>
      <c r="D54" s="6">
        <v>98</v>
      </c>
      <c r="E54" s="2"/>
      <c r="F54" s="7">
        <f t="shared" si="32"/>
        <v>0</v>
      </c>
      <c r="G54" s="2"/>
      <c r="H54" s="6">
        <v>125</v>
      </c>
      <c r="I54" s="2"/>
      <c r="J54" s="7">
        <f t="shared" si="33"/>
        <v>0</v>
      </c>
      <c r="K54" s="2"/>
      <c r="L54" s="6">
        <f t="shared" si="34"/>
        <v>-27</v>
      </c>
      <c r="M54" s="2"/>
      <c r="N54" s="7">
        <f t="shared" si="35"/>
        <v>-0.216</v>
      </c>
      <c r="O54" s="11"/>
      <c r="P54" s="6">
        <v>146</v>
      </c>
      <c r="Q54" s="2"/>
      <c r="R54" s="7">
        <f t="shared" si="36"/>
        <v>0</v>
      </c>
      <c r="S54" s="2"/>
      <c r="T54" s="6">
        <v>250</v>
      </c>
      <c r="U54" s="2"/>
      <c r="V54" s="7">
        <f t="shared" si="37"/>
        <v>0</v>
      </c>
      <c r="W54" s="2"/>
      <c r="X54" s="6">
        <f t="shared" si="38"/>
        <v>-104</v>
      </c>
      <c r="Y54" s="2"/>
      <c r="Z54" s="7">
        <f t="shared" si="39"/>
        <v>-0.41599999999999998</v>
      </c>
    </row>
    <row r="55" spans="1:26" s="53" customFormat="1" x14ac:dyDescent="0.3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">
      <c r="A56" s="10"/>
      <c r="B56" s="25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3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3">
      <c r="A58" s="10"/>
      <c r="B58" s="26" t="s">
        <v>277</v>
      </c>
      <c r="C58" s="26"/>
      <c r="D58" s="21">
        <f>+D16-D18+D56</f>
        <v>-7758.59</v>
      </c>
      <c r="E58" s="13"/>
      <c r="F58" s="20">
        <f>IF(D$12=0,0,D58/D$12)</f>
        <v>0</v>
      </c>
      <c r="G58" s="13"/>
      <c r="H58" s="21">
        <f>+H16-H18+H56</f>
        <v>-6887.9665799999993</v>
      </c>
      <c r="I58" s="13"/>
      <c r="J58" s="20">
        <f>IF(H$12=0,0,H58/H$12)</f>
        <v>0</v>
      </c>
      <c r="K58" s="16"/>
      <c r="L58" s="21">
        <f>+D58-H58</f>
        <v>-870.62342000000081</v>
      </c>
      <c r="M58" s="16"/>
      <c r="N58" s="20">
        <f>IF(H58=0,0,L58/H58)</f>
        <v>0.12639774161041312</v>
      </c>
      <c r="O58" s="25"/>
      <c r="P58" s="21">
        <f>+P16-P18+P56</f>
        <v>-15942.27</v>
      </c>
      <c r="Q58" s="13"/>
      <c r="R58" s="20">
        <f>IF(P$12=0,0,P58/P$12)</f>
        <v>0</v>
      </c>
      <c r="S58" s="13"/>
      <c r="T58" s="21">
        <f>+T16-T18+T56</f>
        <v>-20201.674805000002</v>
      </c>
      <c r="U58" s="13"/>
      <c r="V58" s="20">
        <f>IF(T$12=0,0,T58/T$12)</f>
        <v>0</v>
      </c>
      <c r="W58" s="16"/>
      <c r="X58" s="21">
        <f>+P58-T58</f>
        <v>4259.4048050000019</v>
      </c>
      <c r="Y58" s="16"/>
      <c r="Z58" s="20">
        <f>IF(T58=0,0,X58/T58)</f>
        <v>-0.21084414268196125</v>
      </c>
    </row>
    <row r="59" spans="1:26" x14ac:dyDescent="0.3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3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3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" thickBot="1" x14ac:dyDescent="0.35">
      <c r="A62" s="10"/>
      <c r="B62" s="26" t="s">
        <v>126</v>
      </c>
      <c r="C62" s="26"/>
      <c r="D62" s="30">
        <f>+D58-D60</f>
        <v>-7758.59</v>
      </c>
      <c r="E62" s="13"/>
      <c r="F62" s="35">
        <f>IF(D$12=0,0,D62/D$12)</f>
        <v>0</v>
      </c>
      <c r="G62" s="13"/>
      <c r="H62" s="30">
        <f>+H58-H60</f>
        <v>-6887.9665799999993</v>
      </c>
      <c r="I62" s="13"/>
      <c r="J62" s="35">
        <f>IF(H$12=0,0,H62/H$12)</f>
        <v>0</v>
      </c>
      <c r="K62" s="16"/>
      <c r="L62" s="30">
        <f>D62-H62</f>
        <v>-870.62342000000081</v>
      </c>
      <c r="M62" s="16"/>
      <c r="N62" s="35">
        <f>IF(H62=0,0,L62/H62)</f>
        <v>0.12639774161041312</v>
      </c>
      <c r="O62" s="25"/>
      <c r="P62" s="30">
        <f>+P58-P60</f>
        <v>-15942.27</v>
      </c>
      <c r="Q62" s="13"/>
      <c r="R62" s="35">
        <f>IF(P$12=0,0,P62/P$12)</f>
        <v>0</v>
      </c>
      <c r="S62" s="13"/>
      <c r="T62" s="30">
        <f>+T58-T60</f>
        <v>-20201.674805000002</v>
      </c>
      <c r="U62" s="13"/>
      <c r="V62" s="35">
        <f>IF(T$12=0,0,T62/T$12)</f>
        <v>0</v>
      </c>
      <c r="W62" s="16"/>
      <c r="X62" s="30">
        <f>P62-T62</f>
        <v>4259.4048050000019</v>
      </c>
      <c r="Y62" s="16"/>
      <c r="Z62" s="35">
        <f>IF(T62=0,0,X62/T62)</f>
        <v>-0.21084414268196125</v>
      </c>
    </row>
    <row r="63" spans="1:26" ht="15" thickTop="1" x14ac:dyDescent="0.3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3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" thickBot="1" x14ac:dyDescent="0.35">
      <c r="A65" s="10"/>
      <c r="B65" s="26" t="s">
        <v>294</v>
      </c>
      <c r="C65" s="26"/>
      <c r="D65" s="32">
        <f>SUM(D62:D64)</f>
        <v>-7758.59</v>
      </c>
      <c r="E65" s="13"/>
      <c r="F65" s="34">
        <f>IF(D$12=0,0,D65/D$12)</f>
        <v>0</v>
      </c>
      <c r="G65" s="13"/>
      <c r="H65" s="32">
        <f>SUM(H62:H64)</f>
        <v>-6887.9665799999993</v>
      </c>
      <c r="I65" s="13"/>
      <c r="J65" s="34">
        <f>IF(H$12=0,0,H65/H$12)</f>
        <v>0</v>
      </c>
      <c r="K65" s="16"/>
      <c r="L65" s="32">
        <f>+D65-H65</f>
        <v>-870.62342000000081</v>
      </c>
      <c r="M65" s="16"/>
      <c r="N65" s="34">
        <f>IF(H65=0,0,L65/H65)</f>
        <v>0.12639774161041312</v>
      </c>
      <c r="O65" s="25"/>
      <c r="P65" s="32">
        <f>SUM(P62:P64)</f>
        <v>-15942.27</v>
      </c>
      <c r="Q65" s="13"/>
      <c r="R65" s="34">
        <f>IF(P$12=0,0,P65/P$12)</f>
        <v>0</v>
      </c>
      <c r="S65" s="13"/>
      <c r="T65" s="32">
        <f>SUM(T62:T64)</f>
        <v>-20201.674805000002</v>
      </c>
      <c r="U65" s="13"/>
      <c r="V65" s="34">
        <f>IF(T$12=0,0,T65/T$12)</f>
        <v>0</v>
      </c>
      <c r="W65" s="16"/>
      <c r="X65" s="32">
        <f>+P65-T65</f>
        <v>4259.4048050000019</v>
      </c>
      <c r="Y65" s="16"/>
      <c r="Z65" s="34">
        <f>IF(T65=0,0,X65/T65)</f>
        <v>-0.21084414268196125</v>
      </c>
    </row>
    <row r="66" spans="1:26" ht="15" thickTop="1" x14ac:dyDescent="0.3">
      <c r="A66" s="9"/>
      <c r="C66" s="9"/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6" x14ac:dyDescent="0.3">
      <c r="A67" s="9"/>
      <c r="B67" s="61">
        <v>44470.835499687499</v>
      </c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6" x14ac:dyDescent="0.3">
      <c r="A68" s="9"/>
      <c r="B68" s="58" t="s">
        <v>56</v>
      </c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3">
      <c r="A69" s="9"/>
      <c r="B69" s="55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3"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","206", " - ", "Communications")</f>
        <v>Department 206 - Communications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7822.71</v>
      </c>
      <c r="E18" s="22"/>
      <c r="F18" s="31">
        <f t="shared" ref="F18:F28" si="0">IF(D$12=0,0,D18/D$12)</f>
        <v>0</v>
      </c>
      <c r="G18" s="22"/>
      <c r="H18" s="22">
        <f>SUM(OSRRefH22x_0)</f>
        <v>12432.674227692311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-4609.9642276923105</v>
      </c>
      <c r="M18" s="4"/>
      <c r="N18" s="31">
        <f t="shared" ref="N18:N28" si="3">IF(H18=0,0,L18/H18)</f>
        <v>-0.37079425900375967</v>
      </c>
      <c r="O18" s="10"/>
      <c r="P18" s="22">
        <f>SUM(OSRRefP22x_0)</f>
        <v>18293.41</v>
      </c>
      <c r="Q18" s="22"/>
      <c r="R18" s="31">
        <f t="shared" ref="R18:R28" si="4">IF(P$12=0,0,P18/P$12)</f>
        <v>0</v>
      </c>
      <c r="S18" s="22"/>
      <c r="T18" s="22">
        <f>SUM(OSRRefT22x_0)</f>
        <v>28757.51701230769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-10464.10701230769</v>
      </c>
      <c r="Y18" s="4"/>
      <c r="Z18" s="31">
        <f t="shared" ref="Z18:Z28" si="7">IF(T18=0,0,X18/T18)</f>
        <v>-0.36387380064242836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1942.2400000000002</v>
      </c>
      <c r="E19" s="1"/>
      <c r="F19" s="5">
        <f t="shared" si="0"/>
        <v>0</v>
      </c>
      <c r="G19" s="1"/>
      <c r="H19" s="1">
        <f>SUM(OSRRefH22_0x_0)</f>
        <v>2387.9942276923098</v>
      </c>
      <c r="I19" s="1"/>
      <c r="J19" s="5">
        <f t="shared" si="1"/>
        <v>0</v>
      </c>
      <c r="K19" s="1"/>
      <c r="L19" s="1">
        <f t="shared" si="2"/>
        <v>-445.75422769230954</v>
      </c>
      <c r="M19" s="1"/>
      <c r="N19" s="5">
        <f t="shared" si="3"/>
        <v>-0.18666470066097013</v>
      </c>
      <c r="O19" s="14"/>
      <c r="P19" s="1">
        <f>SUM(OSRRefP22_0x_0)</f>
        <v>3828.8600000000006</v>
      </c>
      <c r="Q19" s="1"/>
      <c r="R19" s="5">
        <f t="shared" si="4"/>
        <v>0</v>
      </c>
      <c r="S19" s="1"/>
      <c r="T19" s="1">
        <f>SUM(OSRRefT22_0x_0)</f>
        <v>5329.2370123076898</v>
      </c>
      <c r="U19" s="1"/>
      <c r="V19" s="5">
        <f t="shared" si="5"/>
        <v>0</v>
      </c>
      <c r="W19" s="1"/>
      <c r="X19" s="1">
        <f t="shared" si="6"/>
        <v>-1500.3770123076893</v>
      </c>
      <c r="Y19" s="1"/>
      <c r="Z19" s="5">
        <f t="shared" si="7"/>
        <v>-0.2815369271140728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483.01</v>
      </c>
      <c r="E20" s="2"/>
      <c r="F20" s="7">
        <f t="shared" si="0"/>
        <v>0</v>
      </c>
      <c r="G20" s="2"/>
      <c r="H20" s="6">
        <v>574.28111999999999</v>
      </c>
      <c r="I20" s="2"/>
      <c r="J20" s="7">
        <f t="shared" si="1"/>
        <v>0</v>
      </c>
      <c r="K20" s="2"/>
      <c r="L20" s="6">
        <f t="shared" si="2"/>
        <v>-91.271119999999996</v>
      </c>
      <c r="M20" s="2"/>
      <c r="N20" s="7">
        <f t="shared" si="3"/>
        <v>-0.15893108239393278</v>
      </c>
      <c r="O20" s="11"/>
      <c r="P20" s="6">
        <v>981.52</v>
      </c>
      <c r="Q20" s="2"/>
      <c r="R20" s="7">
        <f t="shared" si="4"/>
        <v>0</v>
      </c>
      <c r="S20" s="2"/>
      <c r="T20" s="6">
        <v>1292.1325200000001</v>
      </c>
      <c r="U20" s="2"/>
      <c r="V20" s="7">
        <f t="shared" si="5"/>
        <v>0</v>
      </c>
      <c r="W20" s="2"/>
      <c r="X20" s="6">
        <f t="shared" si="6"/>
        <v>-310.61252000000013</v>
      </c>
      <c r="Y20" s="2"/>
      <c r="Z20" s="7">
        <f t="shared" si="7"/>
        <v>-0.24038751071755404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81.349999999999994</v>
      </c>
      <c r="E21" s="2"/>
      <c r="F21" s="7">
        <f t="shared" si="0"/>
        <v>0</v>
      </c>
      <c r="G21" s="2"/>
      <c r="H21" s="6">
        <v>23.2624</v>
      </c>
      <c r="I21" s="2"/>
      <c r="J21" s="7">
        <f t="shared" si="1"/>
        <v>0</v>
      </c>
      <c r="K21" s="2"/>
      <c r="L21" s="6">
        <f t="shared" si="2"/>
        <v>58.087599999999995</v>
      </c>
      <c r="M21" s="2"/>
      <c r="N21" s="7">
        <f t="shared" si="3"/>
        <v>2.4970596327120158</v>
      </c>
      <c r="O21" s="11"/>
      <c r="P21" s="6">
        <v>165.03</v>
      </c>
      <c r="Q21" s="2"/>
      <c r="R21" s="7">
        <f t="shared" si="4"/>
        <v>0</v>
      </c>
      <c r="S21" s="2"/>
      <c r="T21" s="6">
        <v>52.340400000000002</v>
      </c>
      <c r="U21" s="2"/>
      <c r="V21" s="7">
        <f t="shared" si="5"/>
        <v>0</v>
      </c>
      <c r="W21" s="2"/>
      <c r="X21" s="6">
        <f t="shared" si="6"/>
        <v>112.6896</v>
      </c>
      <c r="Y21" s="2"/>
      <c r="Z21" s="7">
        <f t="shared" si="7"/>
        <v>2.1530137331774308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1275.6923076923099</v>
      </c>
      <c r="I22" s="2"/>
      <c r="J22" s="7">
        <f t="shared" si="1"/>
        <v>0</v>
      </c>
      <c r="K22" s="2"/>
      <c r="L22" s="6">
        <f t="shared" si="2"/>
        <v>-574.82230769230989</v>
      </c>
      <c r="M22" s="2"/>
      <c r="N22" s="7">
        <f t="shared" si="3"/>
        <v>-0.45059635793536035</v>
      </c>
      <c r="O22" s="11"/>
      <c r="P22" s="6">
        <v>1401.74</v>
      </c>
      <c r="Q22" s="2"/>
      <c r="R22" s="7">
        <f t="shared" si="4"/>
        <v>0</v>
      </c>
      <c r="S22" s="2"/>
      <c r="T22" s="6">
        <v>2870.3076923076901</v>
      </c>
      <c r="U22" s="2"/>
      <c r="V22" s="7">
        <f t="shared" si="5"/>
        <v>0</v>
      </c>
      <c r="W22" s="2"/>
      <c r="X22" s="6">
        <f t="shared" si="6"/>
        <v>-1468.5676923076901</v>
      </c>
      <c r="Y22" s="2"/>
      <c r="Z22" s="7">
        <f t="shared" si="7"/>
        <v>-0.51164120705365246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16.399999999999999</v>
      </c>
      <c r="E23" s="2"/>
      <c r="F23" s="7">
        <f t="shared" si="0"/>
        <v>0</v>
      </c>
      <c r="G23" s="2"/>
      <c r="H23" s="6">
        <v>15.7584</v>
      </c>
      <c r="I23" s="2"/>
      <c r="J23" s="7">
        <f t="shared" si="1"/>
        <v>0</v>
      </c>
      <c r="K23" s="2"/>
      <c r="L23" s="6">
        <f t="shared" si="2"/>
        <v>0.64159999999999862</v>
      </c>
      <c r="M23" s="2"/>
      <c r="N23" s="7">
        <f t="shared" si="3"/>
        <v>4.0714793380038493E-2</v>
      </c>
      <c r="O23" s="11"/>
      <c r="P23" s="6">
        <v>33.270000000000003</v>
      </c>
      <c r="Q23" s="2"/>
      <c r="R23" s="7">
        <f t="shared" si="4"/>
        <v>0</v>
      </c>
      <c r="S23" s="2"/>
      <c r="T23" s="6">
        <v>35.456400000000002</v>
      </c>
      <c r="U23" s="2"/>
      <c r="V23" s="7">
        <f t="shared" si="5"/>
        <v>0</v>
      </c>
      <c r="W23" s="2"/>
      <c r="X23" s="6">
        <f t="shared" si="6"/>
        <v>-2.186399999999999</v>
      </c>
      <c r="Y23" s="2"/>
      <c r="Z23" s="7">
        <f t="shared" si="7"/>
        <v>-6.1664466781737537E-2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276.60000000000002</v>
      </c>
      <c r="E26" s="2"/>
      <c r="F26" s="7">
        <f t="shared" si="0"/>
        <v>0</v>
      </c>
      <c r="G26" s="2"/>
      <c r="H26" s="6">
        <v>148.32</v>
      </c>
      <c r="I26" s="2"/>
      <c r="J26" s="7">
        <f t="shared" si="1"/>
        <v>0</v>
      </c>
      <c r="K26" s="2"/>
      <c r="L26" s="6">
        <f t="shared" si="2"/>
        <v>128.28000000000003</v>
      </c>
      <c r="M26" s="2"/>
      <c r="N26" s="7">
        <f t="shared" si="3"/>
        <v>0.86488673139158601</v>
      </c>
      <c r="O26" s="11"/>
      <c r="P26" s="6">
        <v>553.20000000000005</v>
      </c>
      <c r="Q26" s="2"/>
      <c r="R26" s="7">
        <f t="shared" si="4"/>
        <v>0</v>
      </c>
      <c r="S26" s="2"/>
      <c r="T26" s="6">
        <v>333.72</v>
      </c>
      <c r="U26" s="2"/>
      <c r="V26" s="7">
        <f t="shared" si="5"/>
        <v>0</v>
      </c>
      <c r="W26" s="2"/>
      <c r="X26" s="6">
        <f t="shared" si="6"/>
        <v>219.48000000000002</v>
      </c>
      <c r="Y26" s="2"/>
      <c r="Z26" s="7">
        <f t="shared" si="7"/>
        <v>0.65767709457029844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221.4</v>
      </c>
      <c r="E27" s="2"/>
      <c r="F27" s="7">
        <f t="shared" si="0"/>
        <v>0</v>
      </c>
      <c r="G27" s="2"/>
      <c r="H27" s="6">
        <v>175.68</v>
      </c>
      <c r="I27" s="2"/>
      <c r="J27" s="7">
        <f t="shared" si="1"/>
        <v>0</v>
      </c>
      <c r="K27" s="2"/>
      <c r="L27" s="6">
        <f t="shared" si="2"/>
        <v>45.72</v>
      </c>
      <c r="M27" s="2"/>
      <c r="N27" s="7">
        <f t="shared" si="3"/>
        <v>0.26024590163934425</v>
      </c>
      <c r="O27" s="11"/>
      <c r="P27" s="6">
        <v>442.8</v>
      </c>
      <c r="Q27" s="2"/>
      <c r="R27" s="7">
        <f t="shared" si="4"/>
        <v>0</v>
      </c>
      <c r="S27" s="2"/>
      <c r="T27" s="6">
        <v>395.28</v>
      </c>
      <c r="U27" s="2"/>
      <c r="V27" s="7">
        <f t="shared" si="5"/>
        <v>0</v>
      </c>
      <c r="W27" s="2"/>
      <c r="X27" s="6">
        <f t="shared" si="6"/>
        <v>47.520000000000039</v>
      </c>
      <c r="Y27" s="2"/>
      <c r="Z27" s="7">
        <f t="shared" si="7"/>
        <v>0.12021857923497278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162.61000000000001</v>
      </c>
      <c r="E28" s="2"/>
      <c r="F28" s="7">
        <f t="shared" si="0"/>
        <v>0</v>
      </c>
      <c r="G28" s="2"/>
      <c r="H28" s="6">
        <v>175</v>
      </c>
      <c r="I28" s="2"/>
      <c r="J28" s="7">
        <f t="shared" si="1"/>
        <v>0</v>
      </c>
      <c r="K28" s="2"/>
      <c r="L28" s="6">
        <f t="shared" si="2"/>
        <v>-12.389999999999986</v>
      </c>
      <c r="M28" s="2"/>
      <c r="N28" s="7">
        <f t="shared" si="3"/>
        <v>-7.0799999999999919E-2</v>
      </c>
      <c r="O28" s="11"/>
      <c r="P28" s="6">
        <v>251.3</v>
      </c>
      <c r="Q28" s="2"/>
      <c r="R28" s="7">
        <f t="shared" si="4"/>
        <v>0</v>
      </c>
      <c r="S28" s="2"/>
      <c r="T28" s="6">
        <v>350</v>
      </c>
      <c r="U28" s="2"/>
      <c r="V28" s="7">
        <f t="shared" si="5"/>
        <v>0</v>
      </c>
      <c r="W28" s="2"/>
      <c r="X28" s="6">
        <f t="shared" si="6"/>
        <v>-98.699999999999989</v>
      </c>
      <c r="Y28" s="2"/>
      <c r="Z28" s="7">
        <f t="shared" si="7"/>
        <v>-0.28199999999999997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5603.4</v>
      </c>
      <c r="E29" s="1"/>
      <c r="F29" s="5">
        <f t="shared" ref="F29:F39" si="8">IF(D$12=0,0,D29/D$12)</f>
        <v>0</v>
      </c>
      <c r="G29" s="1"/>
      <c r="H29" s="1">
        <f>SUM(OSRRefH22_1x_0)</f>
        <v>7355.68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-1752.2800000000007</v>
      </c>
      <c r="M29" s="1"/>
      <c r="N29" s="5">
        <f t="shared" ref="N29:N39" si="11">IF(H29=0,0,L29/H29)</f>
        <v>-0.23822134731255309</v>
      </c>
      <c r="O29" s="14"/>
      <c r="P29" s="1">
        <f>SUM(OSRRefP22_1x_0)</f>
        <v>13906.27</v>
      </c>
      <c r="Q29" s="1"/>
      <c r="R29" s="5">
        <f t="shared" ref="R29:R39" si="12">IF(P$12=0,0,P29/P$12)</f>
        <v>0</v>
      </c>
      <c r="S29" s="1"/>
      <c r="T29" s="1">
        <f>SUM(OSRRefT22_1x_0)</f>
        <v>16550.28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-2644.0099999999984</v>
      </c>
      <c r="Y29" s="1"/>
      <c r="Z29" s="5">
        <f t="shared" ref="Z29:Z39" si="15">IF(T29=0,0,X29/T29)</f>
        <v>-0.15975620956261757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>
        <v>3929.4</v>
      </c>
      <c r="E33" s="2"/>
      <c r="F33" s="7">
        <f t="shared" si="8"/>
        <v>0</v>
      </c>
      <c r="G33" s="2"/>
      <c r="H33" s="6">
        <v>4795.68</v>
      </c>
      <c r="I33" s="2"/>
      <c r="J33" s="7">
        <f t="shared" si="9"/>
        <v>0</v>
      </c>
      <c r="K33" s="2"/>
      <c r="L33" s="6">
        <f t="shared" si="10"/>
        <v>-866.2800000000002</v>
      </c>
      <c r="M33" s="2"/>
      <c r="N33" s="7">
        <f t="shared" si="11"/>
        <v>-0.18063757381643483</v>
      </c>
      <c r="O33" s="11"/>
      <c r="P33" s="6">
        <v>8803.9500000000007</v>
      </c>
      <c r="Q33" s="2"/>
      <c r="R33" s="7">
        <f t="shared" si="12"/>
        <v>0</v>
      </c>
      <c r="S33" s="2"/>
      <c r="T33" s="6">
        <v>10790.28</v>
      </c>
      <c r="U33" s="2"/>
      <c r="V33" s="7">
        <f t="shared" si="13"/>
        <v>0</v>
      </c>
      <c r="W33" s="2"/>
      <c r="X33" s="6">
        <f t="shared" si="14"/>
        <v>-1986.33</v>
      </c>
      <c r="Y33" s="2"/>
      <c r="Z33" s="7">
        <f t="shared" si="15"/>
        <v>-0.18408512105339248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>
        <v>-1657</v>
      </c>
      <c r="E36" s="2"/>
      <c r="F36" s="7">
        <f t="shared" si="8"/>
        <v>0</v>
      </c>
      <c r="G36" s="2"/>
      <c r="H36" s="6">
        <v>2560</v>
      </c>
      <c r="I36" s="2"/>
      <c r="J36" s="7">
        <f t="shared" si="9"/>
        <v>0</v>
      </c>
      <c r="K36" s="2"/>
      <c r="L36" s="6">
        <f t="shared" si="10"/>
        <v>-4217</v>
      </c>
      <c r="M36" s="2"/>
      <c r="N36" s="7">
        <f t="shared" si="11"/>
        <v>-1.647265625</v>
      </c>
      <c r="O36" s="11"/>
      <c r="P36" s="6">
        <v>0</v>
      </c>
      <c r="Q36" s="2"/>
      <c r="R36" s="7">
        <f t="shared" si="12"/>
        <v>0</v>
      </c>
      <c r="S36" s="2"/>
      <c r="T36" s="6">
        <v>5760</v>
      </c>
      <c r="U36" s="2"/>
      <c r="V36" s="7">
        <f t="shared" si="13"/>
        <v>0</v>
      </c>
      <c r="W36" s="2"/>
      <c r="X36" s="6">
        <f t="shared" si="14"/>
        <v>-5760</v>
      </c>
      <c r="Y36" s="2"/>
      <c r="Z36" s="7">
        <f t="shared" si="15"/>
        <v>-1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3331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3331</v>
      </c>
      <c r="M37" s="2"/>
      <c r="N37" s="7">
        <f t="shared" si="11"/>
        <v>0</v>
      </c>
      <c r="O37" s="11"/>
      <c r="P37" s="6">
        <v>5102.32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5102.32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173.21</v>
      </c>
      <c r="E40" s="1"/>
      <c r="F40" s="5">
        <f t="shared" ref="F40:F46" si="16">IF(D$12=0,0,D40/D$12)</f>
        <v>0</v>
      </c>
      <c r="G40" s="1"/>
      <c r="H40" s="1">
        <f>SUM(OSRRefH22_2x_0)</f>
        <v>417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-243.79</v>
      </c>
      <c r="M40" s="1"/>
      <c r="N40" s="5">
        <f t="shared" ref="N40:N46" si="19">IF(H40=0,0,L40/H40)</f>
        <v>-0.58462829736211031</v>
      </c>
      <c r="O40" s="14"/>
      <c r="P40" s="1">
        <f>SUM(OSRRefP22_2x_0)</f>
        <v>346.42</v>
      </c>
      <c r="Q40" s="1"/>
      <c r="R40" s="5">
        <f t="shared" ref="R40:R46" si="20">IF(P$12=0,0,P40/P$12)</f>
        <v>0</v>
      </c>
      <c r="S40" s="1"/>
      <c r="T40" s="1">
        <f>SUM(OSRRefT22_2x_0)</f>
        <v>834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-487.58</v>
      </c>
      <c r="Y40" s="1"/>
      <c r="Z40" s="5">
        <f t="shared" ref="Z40:Z46" si="23">IF(T40=0,0,X40/T40)</f>
        <v>-0.58462829736211031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173.21</v>
      </c>
      <c r="E41" s="2"/>
      <c r="F41" s="7">
        <f t="shared" si="16"/>
        <v>0</v>
      </c>
      <c r="G41" s="2"/>
      <c r="H41" s="6">
        <v>417</v>
      </c>
      <c r="I41" s="2"/>
      <c r="J41" s="7">
        <f t="shared" si="17"/>
        <v>0</v>
      </c>
      <c r="K41" s="2"/>
      <c r="L41" s="6">
        <f t="shared" si="18"/>
        <v>-243.79</v>
      </c>
      <c r="M41" s="2"/>
      <c r="N41" s="7">
        <f t="shared" si="19"/>
        <v>-0.58462829736211031</v>
      </c>
      <c r="O41" s="11"/>
      <c r="P41" s="6">
        <v>346.42</v>
      </c>
      <c r="Q41" s="2"/>
      <c r="R41" s="7">
        <f t="shared" si="20"/>
        <v>0</v>
      </c>
      <c r="S41" s="2"/>
      <c r="T41" s="6">
        <v>834</v>
      </c>
      <c r="U41" s="2"/>
      <c r="V41" s="7">
        <f t="shared" si="21"/>
        <v>0</v>
      </c>
      <c r="W41" s="2"/>
      <c r="X41" s="6">
        <f t="shared" si="22"/>
        <v>-487.58</v>
      </c>
      <c r="Y41" s="2"/>
      <c r="Z41" s="7">
        <f t="shared" si="23"/>
        <v>-0.58462829736211031</v>
      </c>
    </row>
    <row r="42" spans="1:26" s="28" customFormat="1" outlineLevel="1" collapsed="1" x14ac:dyDescent="0.3">
      <c r="A42" s="29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500</v>
      </c>
      <c r="U42" s="1"/>
      <c r="V42" s="5">
        <f t="shared" si="21"/>
        <v>0</v>
      </c>
      <c r="W42" s="1"/>
      <c r="X42" s="1">
        <f t="shared" si="22"/>
        <v>-500</v>
      </c>
      <c r="Y42" s="1"/>
      <c r="Z42" s="5">
        <f t="shared" si="23"/>
        <v>-1</v>
      </c>
    </row>
    <row r="43" spans="1:26" s="24" customFormat="1" hidden="1" outlineLevel="2" x14ac:dyDescent="0.3">
      <c r="A43" s="27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500</v>
      </c>
      <c r="U43" s="2"/>
      <c r="V43" s="7">
        <f t="shared" si="21"/>
        <v>0</v>
      </c>
      <c r="W43" s="2"/>
      <c r="X43" s="6">
        <f t="shared" si="22"/>
        <v>-500</v>
      </c>
      <c r="Y43" s="2"/>
      <c r="Z43" s="7">
        <f t="shared" si="23"/>
        <v>-1</v>
      </c>
    </row>
    <row r="44" spans="1:26" s="28" customFormat="1" outlineLevel="1" collapsed="1" x14ac:dyDescent="0.3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63.36</v>
      </c>
      <c r="E44" s="1"/>
      <c r="F44" s="5">
        <f t="shared" si="16"/>
        <v>0</v>
      </c>
      <c r="G44" s="1"/>
      <c r="H44" s="1">
        <f>SUM(OSRRefH22_4x_0)</f>
        <v>1600</v>
      </c>
      <c r="I44" s="1"/>
      <c r="J44" s="5">
        <f t="shared" si="17"/>
        <v>0</v>
      </c>
      <c r="K44" s="1"/>
      <c r="L44" s="1">
        <f t="shared" si="18"/>
        <v>-1536.64</v>
      </c>
      <c r="M44" s="1"/>
      <c r="N44" s="5">
        <f t="shared" si="19"/>
        <v>-0.96040000000000003</v>
      </c>
      <c r="O44" s="14"/>
      <c r="P44" s="1">
        <f>SUM(OSRRefP22_4x_0)</f>
        <v>63.36</v>
      </c>
      <c r="Q44" s="1"/>
      <c r="R44" s="5">
        <f t="shared" si="20"/>
        <v>0</v>
      </c>
      <c r="S44" s="1"/>
      <c r="T44" s="1">
        <f>SUM(OSRRefT22_4x_0)</f>
        <v>3200</v>
      </c>
      <c r="U44" s="1"/>
      <c r="V44" s="5">
        <f t="shared" si="21"/>
        <v>0</v>
      </c>
      <c r="W44" s="1"/>
      <c r="X44" s="1">
        <f t="shared" si="22"/>
        <v>-3136.64</v>
      </c>
      <c r="Y44" s="1"/>
      <c r="Z44" s="5">
        <f t="shared" si="23"/>
        <v>-0.98019999999999996</v>
      </c>
    </row>
    <row r="45" spans="1:26" s="24" customFormat="1" hidden="1" outlineLevel="2" x14ac:dyDescent="0.3">
      <c r="A45" s="27"/>
      <c r="B45" s="11" t="str">
        <f>CONCATENATE("          ", "6371", " - ", "COMPUTER SOFTWARE MAINTENANCE")</f>
        <v xml:space="preserve">          6371 - COMPUTER SOFTWARE MAINTENANCE</v>
      </c>
      <c r="C45" s="11"/>
      <c r="D45" s="6"/>
      <c r="E45" s="2"/>
      <c r="F45" s="7">
        <f t="shared" si="16"/>
        <v>0</v>
      </c>
      <c r="G45" s="2"/>
      <c r="H45" s="6">
        <v>1600</v>
      </c>
      <c r="I45" s="2"/>
      <c r="J45" s="7">
        <f t="shared" si="17"/>
        <v>0</v>
      </c>
      <c r="K45" s="2"/>
      <c r="L45" s="6">
        <f t="shared" si="18"/>
        <v>-1600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3200</v>
      </c>
      <c r="U45" s="2"/>
      <c r="V45" s="7">
        <f t="shared" si="21"/>
        <v>0</v>
      </c>
      <c r="W45" s="2"/>
      <c r="X45" s="6">
        <f t="shared" si="22"/>
        <v>-3200</v>
      </c>
      <c r="Y45" s="2"/>
      <c r="Z45" s="7">
        <f t="shared" si="23"/>
        <v>-1</v>
      </c>
    </row>
    <row r="46" spans="1:26" s="24" customFormat="1" hidden="1" outlineLevel="2" x14ac:dyDescent="0.3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6">
        <v>63.36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63.36</v>
      </c>
      <c r="M46" s="2"/>
      <c r="N46" s="7">
        <f t="shared" si="19"/>
        <v>0</v>
      </c>
      <c r="O46" s="11"/>
      <c r="P46" s="6">
        <v>63.36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63.36</v>
      </c>
      <c r="Y46" s="2"/>
      <c r="Z46" s="7">
        <f t="shared" si="23"/>
        <v>0</v>
      </c>
    </row>
    <row r="47" spans="1:26" s="28" customFormat="1" outlineLevel="1" collapsed="1" x14ac:dyDescent="0.3">
      <c r="A47" s="29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SUM(OSRRefD22_5x_0)</f>
        <v>4.5</v>
      </c>
      <c r="E47" s="1"/>
      <c r="F47" s="5">
        <f t="shared" ref="F47:F51" si="24">IF(D$12=0,0,D47/D$12)</f>
        <v>0</v>
      </c>
      <c r="G47" s="1"/>
      <c r="H47" s="1">
        <f>SUM(OSRRefH22_5x_0)</f>
        <v>600</v>
      </c>
      <c r="I47" s="1"/>
      <c r="J47" s="5">
        <f t="shared" ref="J47:J51" si="25">IF(H$12=0,0,H47/H$12)</f>
        <v>0</v>
      </c>
      <c r="K47" s="1"/>
      <c r="L47" s="1">
        <f t="shared" ref="L47:L51" si="26">+D47-H47</f>
        <v>-595.5</v>
      </c>
      <c r="M47" s="1"/>
      <c r="N47" s="5">
        <f t="shared" ref="N47:N51" si="27">IF(H47=0,0,L47/H47)</f>
        <v>-0.99250000000000005</v>
      </c>
      <c r="O47" s="14"/>
      <c r="P47" s="1">
        <f>SUM(OSRRefP22_5x_0)</f>
        <v>4.5</v>
      </c>
      <c r="Q47" s="1"/>
      <c r="R47" s="5">
        <f t="shared" ref="R47:R51" si="28">IF(P$12=0,0,P47/P$12)</f>
        <v>0</v>
      </c>
      <c r="S47" s="1"/>
      <c r="T47" s="1">
        <f>SUM(OSRRefT22_5x_0)</f>
        <v>1200</v>
      </c>
      <c r="U47" s="1"/>
      <c r="V47" s="5">
        <f t="shared" ref="V47:V51" si="29">IF(T$12=0,0,T47/T$12)</f>
        <v>0</v>
      </c>
      <c r="W47" s="1"/>
      <c r="X47" s="1">
        <f t="shared" ref="X47:X51" si="30">+P47-T47</f>
        <v>-1195.5</v>
      </c>
      <c r="Y47" s="1"/>
      <c r="Z47" s="5">
        <f t="shared" ref="Z47:Z51" si="31">IF(T47=0,0,X47/T47)</f>
        <v>-0.99624999999999997</v>
      </c>
    </row>
    <row r="48" spans="1:26" s="24" customFormat="1" hidden="1" outlineLevel="2" x14ac:dyDescent="0.3">
      <c r="A48" s="27"/>
      <c r="B48" s="11" t="str">
        <f>CONCATENATE("          ", "6241", " - ", "OFFICE EXPENSE")</f>
        <v xml:space="preserve">          6241 - OFFICE EXPENSE</v>
      </c>
      <c r="C48" s="11"/>
      <c r="D48" s="6">
        <v>4.5</v>
      </c>
      <c r="E48" s="2"/>
      <c r="F48" s="7">
        <f t="shared" si="24"/>
        <v>0</v>
      </c>
      <c r="G48" s="2"/>
      <c r="H48" s="6">
        <v>600</v>
      </c>
      <c r="I48" s="2"/>
      <c r="J48" s="7">
        <f t="shared" si="25"/>
        <v>0</v>
      </c>
      <c r="K48" s="2"/>
      <c r="L48" s="6">
        <f t="shared" si="26"/>
        <v>-595.5</v>
      </c>
      <c r="M48" s="2"/>
      <c r="N48" s="7">
        <f t="shared" si="27"/>
        <v>-0.99250000000000005</v>
      </c>
      <c r="O48" s="11"/>
      <c r="P48" s="6">
        <v>4.5</v>
      </c>
      <c r="Q48" s="2"/>
      <c r="R48" s="7">
        <f t="shared" si="28"/>
        <v>0</v>
      </c>
      <c r="S48" s="2"/>
      <c r="T48" s="6">
        <v>1200</v>
      </c>
      <c r="U48" s="2"/>
      <c r="V48" s="7">
        <f t="shared" si="29"/>
        <v>0</v>
      </c>
      <c r="W48" s="2"/>
      <c r="X48" s="6">
        <f t="shared" si="30"/>
        <v>-1195.5</v>
      </c>
      <c r="Y48" s="2"/>
      <c r="Z48" s="7">
        <f t="shared" si="31"/>
        <v>-0.99624999999999997</v>
      </c>
    </row>
    <row r="49" spans="1:26" s="28" customFormat="1" outlineLevel="1" collapsed="1" x14ac:dyDescent="0.3">
      <c r="A49" s="29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36</v>
      </c>
      <c r="E49" s="1"/>
      <c r="F49" s="5">
        <f t="shared" si="24"/>
        <v>0</v>
      </c>
      <c r="G49" s="1"/>
      <c r="H49" s="1">
        <f>SUM(OSRRefH22_6x_0)</f>
        <v>72</v>
      </c>
      <c r="I49" s="1"/>
      <c r="J49" s="5">
        <f t="shared" si="25"/>
        <v>0</v>
      </c>
      <c r="K49" s="1"/>
      <c r="L49" s="1">
        <f t="shared" si="26"/>
        <v>-36</v>
      </c>
      <c r="M49" s="1"/>
      <c r="N49" s="5">
        <f t="shared" si="27"/>
        <v>-0.5</v>
      </c>
      <c r="O49" s="14"/>
      <c r="P49" s="1">
        <f>SUM(OSRRefP22_6x_0)</f>
        <v>144</v>
      </c>
      <c r="Q49" s="1"/>
      <c r="R49" s="5">
        <f t="shared" si="28"/>
        <v>0</v>
      </c>
      <c r="S49" s="1"/>
      <c r="T49" s="1">
        <f>SUM(OSRRefT22_6x_0)</f>
        <v>144</v>
      </c>
      <c r="U49" s="1"/>
      <c r="V49" s="5">
        <f t="shared" si="29"/>
        <v>0</v>
      </c>
      <c r="W49" s="1"/>
      <c r="X49" s="1">
        <f t="shared" si="30"/>
        <v>0</v>
      </c>
      <c r="Y49" s="1"/>
      <c r="Z49" s="5">
        <f t="shared" si="31"/>
        <v>0</v>
      </c>
    </row>
    <row r="50" spans="1:26" s="24" customFormat="1" hidden="1" outlineLevel="2" x14ac:dyDescent="0.3">
      <c r="A50" s="27"/>
      <c r="B50" s="11" t="str">
        <f>CONCATENATE("          ", "6303", " - ", "DATA PHONE LINES")</f>
        <v xml:space="preserve">          6303 - DATA PHONE LINES</v>
      </c>
      <c r="C50" s="11"/>
      <c r="D50" s="6"/>
      <c r="E50" s="2"/>
      <c r="F50" s="7">
        <f t="shared" si="24"/>
        <v>0</v>
      </c>
      <c r="G50" s="2"/>
      <c r="H50" s="6">
        <v>36</v>
      </c>
      <c r="I50" s="2"/>
      <c r="J50" s="7">
        <f t="shared" si="25"/>
        <v>0</v>
      </c>
      <c r="K50" s="2"/>
      <c r="L50" s="6">
        <f t="shared" si="26"/>
        <v>-36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72</v>
      </c>
      <c r="U50" s="2"/>
      <c r="V50" s="7">
        <f t="shared" si="29"/>
        <v>0</v>
      </c>
      <c r="W50" s="2"/>
      <c r="X50" s="6">
        <f t="shared" si="30"/>
        <v>-72</v>
      </c>
      <c r="Y50" s="2"/>
      <c r="Z50" s="7">
        <f t="shared" si="31"/>
        <v>-1</v>
      </c>
    </row>
    <row r="51" spans="1:26" s="24" customFormat="1" hidden="1" outlineLevel="2" x14ac:dyDescent="0.3">
      <c r="A51" s="27"/>
      <c r="B51" s="11" t="str">
        <f>CONCATENATE("          ", "6309", " - ", "TELEPHONE")</f>
        <v xml:space="preserve">          6309 - TELEPHONE</v>
      </c>
      <c r="C51" s="11"/>
      <c r="D51" s="6">
        <v>36</v>
      </c>
      <c r="E51" s="2"/>
      <c r="F51" s="7">
        <f t="shared" si="24"/>
        <v>0</v>
      </c>
      <c r="G51" s="2"/>
      <c r="H51" s="6">
        <v>36</v>
      </c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144</v>
      </c>
      <c r="Q51" s="2"/>
      <c r="R51" s="7">
        <f t="shared" si="28"/>
        <v>0</v>
      </c>
      <c r="S51" s="2"/>
      <c r="T51" s="6">
        <v>72</v>
      </c>
      <c r="U51" s="2"/>
      <c r="V51" s="7">
        <f t="shared" si="29"/>
        <v>0</v>
      </c>
      <c r="W51" s="2"/>
      <c r="X51" s="6">
        <f t="shared" si="30"/>
        <v>72</v>
      </c>
      <c r="Y51" s="2"/>
      <c r="Z51" s="7">
        <f t="shared" si="31"/>
        <v>1</v>
      </c>
    </row>
    <row r="52" spans="1:26" s="28" customFormat="1" outlineLevel="1" collapsed="1" x14ac:dyDescent="0.3">
      <c r="A52" s="29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SUM(OSRRefD22_7x_0)</f>
        <v>0</v>
      </c>
      <c r="E52" s="1"/>
      <c r="F52" s="5">
        <f t="shared" ref="F52:F53" si="32">IF(D$12=0,0,D52/D$12)</f>
        <v>0</v>
      </c>
      <c r="G52" s="1"/>
      <c r="H52" s="1">
        <f>SUM(OSRRefH22_7x_0)</f>
        <v>0</v>
      </c>
      <c r="I52" s="1"/>
      <c r="J52" s="5">
        <f t="shared" ref="J52:J53" si="33">IF(H$12=0,0,H52/H$12)</f>
        <v>0</v>
      </c>
      <c r="K52" s="1"/>
      <c r="L52" s="1">
        <f t="shared" ref="L52:L53" si="34">+D52-H52</f>
        <v>0</v>
      </c>
      <c r="M52" s="1"/>
      <c r="N52" s="5">
        <f t="shared" ref="N52:N53" si="35">IF(H52=0,0,L52/H52)</f>
        <v>0</v>
      </c>
      <c r="O52" s="14"/>
      <c r="P52" s="1">
        <f>SUM(OSRRefP22_7x_0)</f>
        <v>0</v>
      </c>
      <c r="Q52" s="1"/>
      <c r="R52" s="5">
        <f t="shared" ref="R52:R53" si="36">IF(P$12=0,0,P52/P$12)</f>
        <v>0</v>
      </c>
      <c r="S52" s="1"/>
      <c r="T52" s="1">
        <f>SUM(OSRRefT22_7x_0)</f>
        <v>1000</v>
      </c>
      <c r="U52" s="1"/>
      <c r="V52" s="5">
        <f t="shared" ref="V52:V53" si="37">IF(T$12=0,0,T52/T$12)</f>
        <v>0</v>
      </c>
      <c r="W52" s="1"/>
      <c r="X52" s="1">
        <f t="shared" ref="X52:X53" si="38">+P52-T52</f>
        <v>-1000</v>
      </c>
      <c r="Y52" s="1"/>
      <c r="Z52" s="5">
        <f t="shared" ref="Z52:Z53" si="39">IF(T52=0,0,X52/T52)</f>
        <v>-1</v>
      </c>
    </row>
    <row r="53" spans="1:26" s="24" customFormat="1" hidden="1" outlineLevel="2" x14ac:dyDescent="0.3">
      <c r="A53" s="27"/>
      <c r="B53" s="11" t="str">
        <f>CONCATENATE("          ", "6376", " - ", "TRAINING")</f>
        <v xml:space="preserve">          6376 - TRAINING</v>
      </c>
      <c r="C53" s="11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/>
      <c r="Q53" s="2"/>
      <c r="R53" s="7">
        <f t="shared" si="36"/>
        <v>0</v>
      </c>
      <c r="S53" s="2"/>
      <c r="T53" s="6">
        <v>1000</v>
      </c>
      <c r="U53" s="2"/>
      <c r="V53" s="7">
        <f t="shared" si="37"/>
        <v>0</v>
      </c>
      <c r="W53" s="2"/>
      <c r="X53" s="6">
        <f t="shared" si="38"/>
        <v>-1000</v>
      </c>
      <c r="Y53" s="2"/>
      <c r="Z53" s="7">
        <f t="shared" si="39"/>
        <v>-1</v>
      </c>
    </row>
    <row r="54" spans="1:26" s="53" customFormat="1" x14ac:dyDescent="0.3">
      <c r="A54" s="36"/>
      <c r="B54" s="36"/>
      <c r="C54" s="36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3">
      <c r="A55" s="10"/>
      <c r="B55" s="25" t="s">
        <v>293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3">
      <c r="A57" s="10"/>
      <c r="B57" s="26" t="s">
        <v>277</v>
      </c>
      <c r="C57" s="26"/>
      <c r="D57" s="21">
        <f>+D16-D18+D55</f>
        <v>-7822.71</v>
      </c>
      <c r="E57" s="13"/>
      <c r="F57" s="20">
        <f>IF(D$12=0,0,D57/D$12)</f>
        <v>0</v>
      </c>
      <c r="G57" s="13"/>
      <c r="H57" s="21">
        <f>+H16-H18+H55</f>
        <v>-12432.674227692311</v>
      </c>
      <c r="I57" s="13"/>
      <c r="J57" s="20">
        <f>IF(H$12=0,0,H57/H$12)</f>
        <v>0</v>
      </c>
      <c r="K57" s="16"/>
      <c r="L57" s="21">
        <f>+D57-H57</f>
        <v>4609.9642276923105</v>
      </c>
      <c r="M57" s="16"/>
      <c r="N57" s="20">
        <f>IF(H57=0,0,L57/H57)</f>
        <v>-0.37079425900375967</v>
      </c>
      <c r="O57" s="25"/>
      <c r="P57" s="21">
        <f>+P16-P18+P55</f>
        <v>-18293.41</v>
      </c>
      <c r="Q57" s="13"/>
      <c r="R57" s="20">
        <f>IF(P$12=0,0,P57/P$12)</f>
        <v>0</v>
      </c>
      <c r="S57" s="13"/>
      <c r="T57" s="21">
        <f>+T16-T18+T55</f>
        <v>-28757.51701230769</v>
      </c>
      <c r="U57" s="13"/>
      <c r="V57" s="20">
        <f>IF(T$12=0,0,T57/T$12)</f>
        <v>0</v>
      </c>
      <c r="W57" s="16"/>
      <c r="X57" s="21">
        <f>+P57-T57</f>
        <v>10464.10701230769</v>
      </c>
      <c r="Y57" s="16"/>
      <c r="Z57" s="20">
        <f>IF(T57=0,0,X57/T57)</f>
        <v>-0.36387380064242836</v>
      </c>
    </row>
    <row r="58" spans="1:26" x14ac:dyDescent="0.3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3">
      <c r="A59" s="52"/>
      <c r="B59" s="10" t="s">
        <v>128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3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" thickBot="1" x14ac:dyDescent="0.35">
      <c r="A61" s="10"/>
      <c r="B61" s="26" t="s">
        <v>126</v>
      </c>
      <c r="C61" s="26"/>
      <c r="D61" s="30">
        <f>+D57-D59</f>
        <v>-7822.71</v>
      </c>
      <c r="E61" s="13"/>
      <c r="F61" s="35">
        <f>IF(D$12=0,0,D61/D$12)</f>
        <v>0</v>
      </c>
      <c r="G61" s="13"/>
      <c r="H61" s="30">
        <f>+H57-H59</f>
        <v>-12432.674227692311</v>
      </c>
      <c r="I61" s="13"/>
      <c r="J61" s="35">
        <f>IF(H$12=0,0,H61/H$12)</f>
        <v>0</v>
      </c>
      <c r="K61" s="16"/>
      <c r="L61" s="30">
        <f>D61-H61</f>
        <v>4609.9642276923105</v>
      </c>
      <c r="M61" s="16"/>
      <c r="N61" s="35">
        <f>IF(H61=0,0,L61/H61)</f>
        <v>-0.37079425900375967</v>
      </c>
      <c r="O61" s="25"/>
      <c r="P61" s="30">
        <f>+P57-P59</f>
        <v>-18293.41</v>
      </c>
      <c r="Q61" s="13"/>
      <c r="R61" s="35">
        <f>IF(P$12=0,0,P61/P$12)</f>
        <v>0</v>
      </c>
      <c r="S61" s="13"/>
      <c r="T61" s="30">
        <f>+T57-T59</f>
        <v>-28757.51701230769</v>
      </c>
      <c r="U61" s="13"/>
      <c r="V61" s="35">
        <f>IF(T$12=0,0,T61/T$12)</f>
        <v>0</v>
      </c>
      <c r="W61" s="16"/>
      <c r="X61" s="30">
        <f>P61-T61</f>
        <v>10464.10701230769</v>
      </c>
      <c r="Y61" s="16"/>
      <c r="Z61" s="35">
        <f>IF(T61=0,0,X61/T61)</f>
        <v>-0.36387380064242836</v>
      </c>
    </row>
    <row r="62" spans="1:26" ht="15" thickTop="1" x14ac:dyDescent="0.3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3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" thickBot="1" x14ac:dyDescent="0.35">
      <c r="A64" s="10"/>
      <c r="B64" s="26" t="s">
        <v>294</v>
      </c>
      <c r="C64" s="26"/>
      <c r="D64" s="32">
        <f>SUM(D61:D63)</f>
        <v>-7822.71</v>
      </c>
      <c r="E64" s="13"/>
      <c r="F64" s="34">
        <f>IF(D$12=0,0,D64/D$12)</f>
        <v>0</v>
      </c>
      <c r="G64" s="13"/>
      <c r="H64" s="32">
        <f>SUM(H61:H63)</f>
        <v>-12432.674227692311</v>
      </c>
      <c r="I64" s="13"/>
      <c r="J64" s="34">
        <f>IF(H$12=0,0,H64/H$12)</f>
        <v>0</v>
      </c>
      <c r="K64" s="16"/>
      <c r="L64" s="32">
        <f>+D64-H64</f>
        <v>4609.9642276923105</v>
      </c>
      <c r="M64" s="16"/>
      <c r="N64" s="34">
        <f>IF(H64=0,0,L64/H64)</f>
        <v>-0.37079425900375967</v>
      </c>
      <c r="O64" s="25"/>
      <c r="P64" s="32">
        <f>SUM(P61:P63)</f>
        <v>-18293.41</v>
      </c>
      <c r="Q64" s="13"/>
      <c r="R64" s="34">
        <f>IF(P$12=0,0,P64/P$12)</f>
        <v>0</v>
      </c>
      <c r="S64" s="13"/>
      <c r="T64" s="32">
        <f>SUM(T61:T63)</f>
        <v>-28757.51701230769</v>
      </c>
      <c r="U64" s="13"/>
      <c r="V64" s="34">
        <f>IF(T$12=0,0,T64/T$12)</f>
        <v>0</v>
      </c>
      <c r="W64" s="16"/>
      <c r="X64" s="32">
        <f>+P64-T64</f>
        <v>10464.10701230769</v>
      </c>
      <c r="Y64" s="16"/>
      <c r="Z64" s="34">
        <f>IF(T64=0,0,X64/T64)</f>
        <v>-0.36387380064242836</v>
      </c>
    </row>
    <row r="65" spans="1:24" ht="15" thickTop="1" x14ac:dyDescent="0.3">
      <c r="A65" s="9"/>
      <c r="C65" s="9"/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3">
      <c r="A66" s="9"/>
      <c r="B66" s="61">
        <v>44470.835499687499</v>
      </c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4" x14ac:dyDescent="0.3">
      <c r="A67" s="9"/>
      <c r="B67" s="58" t="s">
        <v>56</v>
      </c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4" x14ac:dyDescent="0.3">
      <c r="A68" s="9"/>
      <c r="B68" s="55"/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4" x14ac:dyDescent="0.3"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16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107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1519459.5899999999</v>
      </c>
      <c r="E12" s="4"/>
      <c r="F12" s="12"/>
      <c r="G12" s="4"/>
      <c r="H12" s="4">
        <f>SUM(OSRRefH13x_0)</f>
        <v>2753756</v>
      </c>
      <c r="I12" s="4"/>
      <c r="J12" s="12"/>
      <c r="K12" s="4"/>
      <c r="L12" s="4">
        <f t="shared" ref="L12:L19" si="0">+D12-H12</f>
        <v>-1234296.4100000001</v>
      </c>
      <c r="M12" s="4"/>
      <c r="N12" s="12">
        <f t="shared" ref="N12:N19" si="1">IF(H12=0,0,L12/H12)</f>
        <v>-0.44822286724023486</v>
      </c>
      <c r="O12" s="10"/>
      <c r="P12" s="4">
        <f>SUM(OSRRefP13x_0)</f>
        <v>1739957.81</v>
      </c>
      <c r="Q12" s="4"/>
      <c r="R12" s="12"/>
      <c r="S12" s="4"/>
      <c r="T12" s="4">
        <f>SUM(OSRRefT13x_0)</f>
        <v>3083989</v>
      </c>
      <c r="U12" s="4"/>
      <c r="V12" s="12"/>
      <c r="W12" s="4"/>
      <c r="X12" s="4">
        <f t="shared" ref="X12:X19" si="2">+P12-T12</f>
        <v>-1344031.19</v>
      </c>
      <c r="Y12" s="4"/>
      <c r="Z12" s="12">
        <f t="shared" ref="Z12:Z19" si="3">IF(T12=0,0,X12/T12)</f>
        <v>-0.43580933330177246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--1220653.3</f>
        <v>1220653.3</v>
      </c>
      <c r="E13" s="2"/>
      <c r="F13" s="19"/>
      <c r="G13" s="2"/>
      <c r="H13" s="2">
        <v>2728214</v>
      </c>
      <c r="I13" s="2"/>
      <c r="J13" s="19"/>
      <c r="K13" s="2"/>
      <c r="L13" s="2">
        <f t="shared" si="0"/>
        <v>-1507560.7</v>
      </c>
      <c r="M13" s="2"/>
      <c r="N13" s="19">
        <f t="shared" si="1"/>
        <v>-0.55258154235701451</v>
      </c>
      <c r="O13" s="11"/>
      <c r="P13" s="2">
        <f>--1408701.63</f>
        <v>1408701.63</v>
      </c>
      <c r="Q13" s="2"/>
      <c r="R13" s="19"/>
      <c r="S13" s="2"/>
      <c r="T13" s="2">
        <v>3057892</v>
      </c>
      <c r="U13" s="2"/>
      <c r="V13" s="19"/>
      <c r="W13" s="2"/>
      <c r="X13" s="2">
        <f t="shared" si="2"/>
        <v>-1649190.37</v>
      </c>
      <c r="Y13" s="2"/>
      <c r="Z13" s="19">
        <f t="shared" si="3"/>
        <v>-0.53932263467774533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--332101.69</f>
        <v>332101.69</v>
      </c>
      <c r="E14" s="2"/>
      <c r="F14" s="19"/>
      <c r="G14" s="2"/>
      <c r="H14" s="2">
        <v>25542</v>
      </c>
      <c r="I14" s="2"/>
      <c r="J14" s="19"/>
      <c r="K14" s="2"/>
      <c r="L14" s="2">
        <f t="shared" si="0"/>
        <v>306559.69</v>
      </c>
      <c r="M14" s="2"/>
      <c r="N14" s="19">
        <f t="shared" si="1"/>
        <v>12.002180330436145</v>
      </c>
      <c r="O14" s="11"/>
      <c r="P14" s="2">
        <f>--371200.23</f>
        <v>371200.23</v>
      </c>
      <c r="Q14" s="2"/>
      <c r="R14" s="19"/>
      <c r="S14" s="2"/>
      <c r="T14" s="2">
        <v>26097</v>
      </c>
      <c r="U14" s="2"/>
      <c r="V14" s="19"/>
      <c r="W14" s="2"/>
      <c r="X14" s="2">
        <f t="shared" si="2"/>
        <v>345103.23</v>
      </c>
      <c r="Y14" s="2"/>
      <c r="Z14" s="19">
        <f t="shared" si="3"/>
        <v>13.223865961604782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--389.5</f>
        <v>389.5</v>
      </c>
      <c r="E15" s="2"/>
      <c r="F15" s="19"/>
      <c r="G15" s="2"/>
      <c r="H15" s="2"/>
      <c r="I15" s="2"/>
      <c r="J15" s="19"/>
      <c r="K15" s="2"/>
      <c r="L15" s="2">
        <f t="shared" si="0"/>
        <v>389.5</v>
      </c>
      <c r="M15" s="2"/>
      <c r="N15" s="19">
        <f t="shared" si="1"/>
        <v>0</v>
      </c>
      <c r="O15" s="11"/>
      <c r="P15" s="2">
        <f>--389.5</f>
        <v>389.5</v>
      </c>
      <c r="Q15" s="2"/>
      <c r="R15" s="19"/>
      <c r="S15" s="2"/>
      <c r="T15" s="2"/>
      <c r="U15" s="2"/>
      <c r="V15" s="19"/>
      <c r="W15" s="2"/>
      <c r="X15" s="2">
        <f t="shared" si="2"/>
        <v>389.5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--2713.4</f>
        <v>2713.4</v>
      </c>
      <c r="E16" s="2"/>
      <c r="F16" s="19"/>
      <c r="G16" s="2"/>
      <c r="H16" s="2"/>
      <c r="I16" s="2"/>
      <c r="J16" s="19"/>
      <c r="K16" s="2"/>
      <c r="L16" s="2">
        <f t="shared" si="0"/>
        <v>2713.4</v>
      </c>
      <c r="M16" s="2"/>
      <c r="N16" s="19">
        <f t="shared" si="1"/>
        <v>0</v>
      </c>
      <c r="O16" s="11"/>
      <c r="P16" s="2">
        <f>--2733.6</f>
        <v>2733.6</v>
      </c>
      <c r="Q16" s="2"/>
      <c r="R16" s="19"/>
      <c r="S16" s="2"/>
      <c r="T16" s="2"/>
      <c r="U16" s="2"/>
      <c r="V16" s="19"/>
      <c r="W16" s="2"/>
      <c r="X16" s="2">
        <f t="shared" si="2"/>
        <v>2733.6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--130.35</f>
        <v>130.35</v>
      </c>
      <c r="E17" s="2"/>
      <c r="F17" s="19"/>
      <c r="G17" s="2"/>
      <c r="H17" s="2"/>
      <c r="I17" s="2"/>
      <c r="J17" s="19"/>
      <c r="K17" s="2"/>
      <c r="L17" s="2">
        <f t="shared" si="0"/>
        <v>130.35</v>
      </c>
      <c r="M17" s="2"/>
      <c r="N17" s="19">
        <f t="shared" si="1"/>
        <v>0</v>
      </c>
      <c r="O17" s="11"/>
      <c r="P17" s="2">
        <f>--130.35</f>
        <v>130.35</v>
      </c>
      <c r="Q17" s="2"/>
      <c r="R17" s="19"/>
      <c r="S17" s="2"/>
      <c r="T17" s="2"/>
      <c r="U17" s="2"/>
      <c r="V17" s="19"/>
      <c r="W17" s="2"/>
      <c r="X17" s="2">
        <f t="shared" si="2"/>
        <v>130.35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"4200", " - ", "TAXABLE RETURNS")</f>
        <v xml:space="preserve">          4200 - TAXABLE RETURNS</v>
      </c>
      <c r="C18" s="11"/>
      <c r="D18" s="2">
        <f>-20240.57</f>
        <v>-20240.57</v>
      </c>
      <c r="E18" s="2"/>
      <c r="F18" s="19"/>
      <c r="G18" s="2"/>
      <c r="H18" s="2"/>
      <c r="I18" s="2"/>
      <c r="J18" s="19"/>
      <c r="K18" s="2"/>
      <c r="L18" s="2">
        <f t="shared" si="0"/>
        <v>-20240.57</v>
      </c>
      <c r="M18" s="2"/>
      <c r="N18" s="19">
        <f t="shared" si="1"/>
        <v>0</v>
      </c>
      <c r="O18" s="11"/>
      <c r="P18" s="2">
        <f>-25806.84</f>
        <v>-25806.84</v>
      </c>
      <c r="Q18" s="2"/>
      <c r="R18" s="19"/>
      <c r="S18" s="2"/>
      <c r="T18" s="2"/>
      <c r="U18" s="2"/>
      <c r="V18" s="19"/>
      <c r="W18" s="2"/>
      <c r="X18" s="2">
        <f t="shared" si="2"/>
        <v>-25806.84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"4300", " - ", "NON-TAX RETURNS")</f>
        <v xml:space="preserve">          4300 - NON-TAX RETURNS</v>
      </c>
      <c r="C19" s="11"/>
      <c r="D19" s="2">
        <f>-16288.08</f>
        <v>-16288.08</v>
      </c>
      <c r="E19" s="2"/>
      <c r="F19" s="19"/>
      <c r="G19" s="2"/>
      <c r="H19" s="2"/>
      <c r="I19" s="2"/>
      <c r="J19" s="19"/>
      <c r="K19" s="2"/>
      <c r="L19" s="2">
        <f t="shared" si="0"/>
        <v>-16288.08</v>
      </c>
      <c r="M19" s="2"/>
      <c r="N19" s="19">
        <f t="shared" si="1"/>
        <v>0</v>
      </c>
      <c r="O19" s="11"/>
      <c r="P19" s="2">
        <f>-17390.66</f>
        <v>-17390.66</v>
      </c>
      <c r="Q19" s="2"/>
      <c r="R19" s="19"/>
      <c r="S19" s="2"/>
      <c r="T19" s="2"/>
      <c r="U19" s="2"/>
      <c r="V19" s="19"/>
      <c r="W19" s="2"/>
      <c r="X19" s="2">
        <f t="shared" si="2"/>
        <v>-17390.66</v>
      </c>
      <c r="Y19" s="2"/>
      <c r="Z19" s="19">
        <f t="shared" si="3"/>
        <v>0</v>
      </c>
    </row>
    <row r="20" spans="1:26" x14ac:dyDescent="0.3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3">
      <c r="A21" s="10"/>
      <c r="B21" s="25" t="s">
        <v>257</v>
      </c>
      <c r="C21" s="10"/>
      <c r="D21" s="4">
        <f>SUM(OSRRefD16x_0)</f>
        <v>995584.52999999991</v>
      </c>
      <c r="E21" s="4"/>
      <c r="F21" s="12">
        <f t="shared" ref="F21:F50" si="4">IF(D$12=0,0,D21/D$12)</f>
        <v>0.65522277561853426</v>
      </c>
      <c r="G21" s="4"/>
      <c r="H21" s="4">
        <f>SUM(OSRRefH16x_0)</f>
        <v>1861556</v>
      </c>
      <c r="I21" s="4"/>
      <c r="J21" s="12">
        <f t="shared" ref="J21:J50" si="5">IF(H$12=0,0,H21/H$12)</f>
        <v>0.67600615305059708</v>
      </c>
      <c r="K21" s="4"/>
      <c r="L21" s="4">
        <f t="shared" ref="L21:L50" si="6">+D21-H21</f>
        <v>-865971.47000000009</v>
      </c>
      <c r="M21" s="4"/>
      <c r="N21" s="12">
        <f t="shared" ref="N21:N50" si="7">IF(H21=0,0,L21/H21)</f>
        <v>-0.46518690278455233</v>
      </c>
      <c r="O21" s="10"/>
      <c r="P21" s="4">
        <f>SUM(OSRRefP16x_0)</f>
        <v>1123005.97</v>
      </c>
      <c r="Q21" s="4"/>
      <c r="R21" s="12">
        <f t="shared" ref="R21:R50" si="8">IF(P$12=0,0,P21/P$12)</f>
        <v>0.64542137949885114</v>
      </c>
      <c r="S21" s="4"/>
      <c r="T21" s="4">
        <f>SUM(OSRRefT16x_0)</f>
        <v>2065352</v>
      </c>
      <c r="U21" s="4"/>
      <c r="V21" s="12">
        <f t="shared" ref="V21:V50" si="9">IF(T$12=0,0,T21/T$12)</f>
        <v>0.66970148077700664</v>
      </c>
      <c r="W21" s="4"/>
      <c r="X21" s="4">
        <f t="shared" ref="X21:X50" si="10">+P21-T21</f>
        <v>-942346.03</v>
      </c>
      <c r="Y21" s="4"/>
      <c r="Z21" s="12">
        <f t="shared" ref="Z21:Z50" si="11">IF(T21=0,0,X21/T21)</f>
        <v>-0.45626412834228741</v>
      </c>
    </row>
    <row r="22" spans="1:26" s="24" customFormat="1" hidden="1" outlineLevel="1" x14ac:dyDescent="0.3">
      <c r="A22" s="44"/>
      <c r="B22" s="11" t="str">
        <f>CONCATENATE("          ", "5000", " - ", "PURCHASES @ COST")</f>
        <v xml:space="preserve">          5000 - PURCHASES @ COST</v>
      </c>
      <c r="C22" s="11"/>
      <c r="D22" s="2">
        <v>500180.97</v>
      </c>
      <c r="E22" s="2"/>
      <c r="F22" s="19">
        <f t="shared" si="4"/>
        <v>0.32918346318114328</v>
      </c>
      <c r="G22" s="2"/>
      <c r="H22" s="2">
        <v>1861556</v>
      </c>
      <c r="I22" s="2"/>
      <c r="J22" s="19">
        <f t="shared" si="5"/>
        <v>0.67600615305059708</v>
      </c>
      <c r="K22" s="2"/>
      <c r="L22" s="2">
        <f t="shared" si="6"/>
        <v>-1361375.03</v>
      </c>
      <c r="M22" s="2"/>
      <c r="N22" s="19">
        <f t="shared" si="7"/>
        <v>-0.7313102748453445</v>
      </c>
      <c r="O22" s="11"/>
      <c r="P22" s="2">
        <v>844954.64</v>
      </c>
      <c r="Q22" s="2"/>
      <c r="R22" s="19">
        <f t="shared" si="8"/>
        <v>0.4856178897809022</v>
      </c>
      <c r="S22" s="2"/>
      <c r="T22" s="2">
        <v>2065352</v>
      </c>
      <c r="U22" s="2"/>
      <c r="V22" s="19">
        <f t="shared" si="9"/>
        <v>0.66970148077700664</v>
      </c>
      <c r="W22" s="2"/>
      <c r="X22" s="2">
        <f t="shared" si="10"/>
        <v>-1220397.3599999999</v>
      </c>
      <c r="Y22" s="2"/>
      <c r="Z22" s="19">
        <f t="shared" si="11"/>
        <v>-0.59089073436392436</v>
      </c>
    </row>
    <row r="23" spans="1:26" s="24" customFormat="1" hidden="1" outlineLevel="1" x14ac:dyDescent="0.3">
      <c r="A23" s="44"/>
      <c r="B23" s="11" t="str">
        <f>CONCATENATE("          ", "5001", " - ", "PURCHASES @ COST-NEW TEXT")</f>
        <v xml:space="preserve">          5001 - PURCHASES @ COST-NEW TEXT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"5002", " - ", "PURCHASES @ COST-USED TEXT")</f>
        <v xml:space="preserve">          5002 - PURCHASES @ COST-USED TEXT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"5004", " - ", "PURCHASES @ COST-DIGITAL TEXT")</f>
        <v xml:space="preserve">          5004 - PURCHASES @ COST-DIGITAL TEXT</v>
      </c>
      <c r="C25" s="11"/>
      <c r="D25" s="2">
        <v>0</v>
      </c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"5026", " - ", "PURCHASES @ COST-WRITING INSTR")</f>
        <v xml:space="preserve">          5026 - PURCHASES @ COST-WRITING INSTR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"5027", " - ", "PURCHASES @ COST-SCHOOL SUPPLI")</f>
        <v xml:space="preserve">          5027 - PURCHASES @ COST-SCHOOL SUPPLI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"5028", " - ", "PURCHASES @ COST-ART/TECH")</f>
        <v xml:space="preserve">          5028 - PURCHASES @ COST-ART/TECH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"5031", " - ", "PURCHASES @ COST-FOOD")</f>
        <v xml:space="preserve">          5031 - PURCHASES @ COST-FOOD</v>
      </c>
      <c r="C29" s="11"/>
      <c r="D29" s="2">
        <v>0</v>
      </c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"5040", " - ", "PURCHASES @ COST-LOGO CLOTHING")</f>
        <v xml:space="preserve">          5040 - PURCHASES @ COST-LOGO CLOTHING</v>
      </c>
      <c r="C30" s="11"/>
      <c r="D30" s="2">
        <v>0</v>
      </c>
      <c r="E30" s="2"/>
      <c r="F30" s="19">
        <f t="shared" si="4"/>
        <v>0</v>
      </c>
      <c r="G30" s="2"/>
      <c r="H30" s="2"/>
      <c r="I30" s="2"/>
      <c r="J30" s="19">
        <f t="shared" si="5"/>
        <v>0</v>
      </c>
      <c r="K30" s="2"/>
      <c r="L30" s="2">
        <f t="shared" si="6"/>
        <v>0</v>
      </c>
      <c r="M30" s="2"/>
      <c r="N30" s="19">
        <f t="shared" si="7"/>
        <v>0</v>
      </c>
      <c r="O30" s="11"/>
      <c r="P30" s="2">
        <v>0</v>
      </c>
      <c r="Q30" s="2"/>
      <c r="R30" s="19">
        <f t="shared" si="8"/>
        <v>0</v>
      </c>
      <c r="S30" s="2"/>
      <c r="T30" s="2"/>
      <c r="U30" s="2"/>
      <c r="V30" s="19">
        <f t="shared" si="9"/>
        <v>0</v>
      </c>
      <c r="W30" s="2"/>
      <c r="X30" s="2">
        <f t="shared" si="10"/>
        <v>0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"5041", " - ", "PURCHASES @ COST-LOGO GIFTS")</f>
        <v xml:space="preserve">          5041 - PURCHASES @ COST-LOGO GIFTS</v>
      </c>
      <c r="C31" s="11"/>
      <c r="D31" s="2">
        <v>0</v>
      </c>
      <c r="E31" s="2"/>
      <c r="F31" s="19">
        <f t="shared" si="4"/>
        <v>0</v>
      </c>
      <c r="G31" s="2"/>
      <c r="H31" s="2"/>
      <c r="I31" s="2"/>
      <c r="J31" s="19">
        <f t="shared" si="5"/>
        <v>0</v>
      </c>
      <c r="K31" s="2"/>
      <c r="L31" s="2">
        <f t="shared" si="6"/>
        <v>0</v>
      </c>
      <c r="M31" s="2"/>
      <c r="N31" s="19">
        <f t="shared" si="7"/>
        <v>0</v>
      </c>
      <c r="O31" s="11"/>
      <c r="P31" s="2">
        <v>0</v>
      </c>
      <c r="Q31" s="2"/>
      <c r="R31" s="19">
        <f t="shared" si="8"/>
        <v>0</v>
      </c>
      <c r="S31" s="2"/>
      <c r="T31" s="2"/>
      <c r="U31" s="2"/>
      <c r="V31" s="19">
        <f t="shared" si="9"/>
        <v>0</v>
      </c>
      <c r="W31" s="2"/>
      <c r="X31" s="2">
        <f t="shared" si="10"/>
        <v>0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"5042", " - ", "PURCHASES @ COST-EVERYDAY GIFT")</f>
        <v xml:space="preserve">          5042 - PURCHASES @ COST-EVERYDAY GIFT</v>
      </c>
      <c r="C32" s="11"/>
      <c r="D32" s="2">
        <v>0</v>
      </c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"5043", " - ", "PURCHASES @ COST-CARDS")</f>
        <v xml:space="preserve">          5043 - PURCHASES @ COST-CARDS</v>
      </c>
      <c r="C33" s="11"/>
      <c r="D33" s="2">
        <v>0</v>
      </c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"5044", " - ", "PURCHASES @ COST-ACCESSORIES")</f>
        <v xml:space="preserve">          5044 - PURCHASES @ COST-ACCESSORIES</v>
      </c>
      <c r="C34" s="11"/>
      <c r="D34" s="2">
        <v>0</v>
      </c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"5045", " - ", "PURCHASES @ COST-SPECIAL ORDER")</f>
        <v xml:space="preserve">          5045 - PURCHASES @ COST-SPECIAL ORDER</v>
      </c>
      <c r="C35" s="11"/>
      <c r="D35" s="2">
        <v>0</v>
      </c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"5053", " - ", "PURCHASES @ COST-FOOD")</f>
        <v xml:space="preserve">          5053 - PURCHASES @ COST-FOOD</v>
      </c>
      <c r="C36" s="11"/>
      <c r="D36" s="2">
        <v>14985.56</v>
      </c>
      <c r="E36" s="2"/>
      <c r="F36" s="19">
        <f t="shared" si="4"/>
        <v>9.8624274700191278E-3</v>
      </c>
      <c r="G36" s="2"/>
      <c r="H36" s="2"/>
      <c r="I36" s="2"/>
      <c r="J36" s="19">
        <f t="shared" si="5"/>
        <v>0</v>
      </c>
      <c r="K36" s="2"/>
      <c r="L36" s="2">
        <f t="shared" si="6"/>
        <v>14985.56</v>
      </c>
      <c r="M36" s="2"/>
      <c r="N36" s="19">
        <f t="shared" si="7"/>
        <v>0</v>
      </c>
      <c r="O36" s="11"/>
      <c r="P36" s="2">
        <v>14985.56</v>
      </c>
      <c r="Q36" s="2"/>
      <c r="R36" s="19">
        <f t="shared" si="8"/>
        <v>8.61259963539001E-3</v>
      </c>
      <c r="S36" s="2"/>
      <c r="T36" s="2"/>
      <c r="U36" s="2"/>
      <c r="V36" s="19">
        <f t="shared" si="9"/>
        <v>0</v>
      </c>
      <c r="W36" s="2"/>
      <c r="X36" s="2">
        <f t="shared" si="10"/>
        <v>14985.56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"5059", " - ", "PURCHASES @ COST-FOOD")</f>
        <v xml:space="preserve">          5059 - PURCHASES @ COST-FOOD</v>
      </c>
      <c r="C37" s="11"/>
      <c r="D37" s="2">
        <v>-11739</v>
      </c>
      <c r="E37" s="2"/>
      <c r="F37" s="19">
        <f t="shared" si="4"/>
        <v>-7.725773082257489E-3</v>
      </c>
      <c r="G37" s="2"/>
      <c r="H37" s="2"/>
      <c r="I37" s="2"/>
      <c r="J37" s="19">
        <f t="shared" si="5"/>
        <v>0</v>
      </c>
      <c r="K37" s="2"/>
      <c r="L37" s="2">
        <f t="shared" si="6"/>
        <v>-11739</v>
      </c>
      <c r="M37" s="2"/>
      <c r="N37" s="19">
        <f t="shared" si="7"/>
        <v>0</v>
      </c>
      <c r="O37" s="11"/>
      <c r="P37" s="2">
        <v>-11739</v>
      </c>
      <c r="Q37" s="2"/>
      <c r="R37" s="19">
        <f t="shared" si="8"/>
        <v>-6.7467153125971482E-3</v>
      </c>
      <c r="S37" s="2"/>
      <c r="T37" s="2"/>
      <c r="U37" s="2"/>
      <c r="V37" s="19">
        <f t="shared" si="9"/>
        <v>0</v>
      </c>
      <c r="W37" s="2"/>
      <c r="X37" s="2">
        <f t="shared" si="10"/>
        <v>-11739</v>
      </c>
      <c r="Y37" s="2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"5200", " - ", "PURCHASES OFFSET")</f>
        <v xml:space="preserve">          5200 - PURCHASES OFFSET</v>
      </c>
      <c r="C38" s="11"/>
      <c r="D38" s="2">
        <v>-303819.98</v>
      </c>
      <c r="E38" s="2"/>
      <c r="F38" s="19">
        <f t="shared" si="4"/>
        <v>-0.19995265553590669</v>
      </c>
      <c r="G38" s="2"/>
      <c r="H38" s="2"/>
      <c r="I38" s="2"/>
      <c r="J38" s="19">
        <f t="shared" si="5"/>
        <v>0</v>
      </c>
      <c r="K38" s="2"/>
      <c r="L38" s="2">
        <f t="shared" si="6"/>
        <v>-303819.98</v>
      </c>
      <c r="M38" s="2"/>
      <c r="N38" s="19">
        <f t="shared" si="7"/>
        <v>0</v>
      </c>
      <c r="O38" s="11"/>
      <c r="P38" s="2">
        <v>-650168.65</v>
      </c>
      <c r="Q38" s="2"/>
      <c r="R38" s="19">
        <f t="shared" si="8"/>
        <v>-0.37366920408259785</v>
      </c>
      <c r="S38" s="2"/>
      <c r="T38" s="2"/>
      <c r="U38" s="2"/>
      <c r="V38" s="19">
        <f t="shared" si="9"/>
        <v>0</v>
      </c>
      <c r="W38" s="2"/>
      <c r="X38" s="2">
        <f t="shared" si="10"/>
        <v>-650168.65</v>
      </c>
      <c r="Y38" s="2"/>
      <c r="Z38" s="19">
        <f t="shared" si="11"/>
        <v>0</v>
      </c>
    </row>
    <row r="39" spans="1:26" s="24" customFormat="1" hidden="1" outlineLevel="1" x14ac:dyDescent="0.3">
      <c r="A39" s="44"/>
      <c r="B39" s="11" t="str">
        <f>CONCATENATE("          ", "5300", " - ", "COG$ OFFSET")</f>
        <v xml:space="preserve">          5300 - COG$ OFFSET</v>
      </c>
      <c r="C39" s="11"/>
      <c r="D39" s="2">
        <v>789387.34</v>
      </c>
      <c r="E39" s="2"/>
      <c r="F39" s="19">
        <f t="shared" si="4"/>
        <v>0.51951848222564445</v>
      </c>
      <c r="G39" s="2"/>
      <c r="H39" s="2"/>
      <c r="I39" s="2"/>
      <c r="J39" s="19">
        <f t="shared" si="5"/>
        <v>0</v>
      </c>
      <c r="K39" s="2"/>
      <c r="L39" s="2">
        <f t="shared" si="6"/>
        <v>789387.34</v>
      </c>
      <c r="M39" s="2"/>
      <c r="N39" s="19">
        <f t="shared" si="7"/>
        <v>0</v>
      </c>
      <c r="O39" s="11"/>
      <c r="P39" s="2">
        <v>914798.75</v>
      </c>
      <c r="Q39" s="2"/>
      <c r="R39" s="19">
        <f t="shared" si="8"/>
        <v>0.52575915619471258</v>
      </c>
      <c r="S39" s="2"/>
      <c r="T39" s="2"/>
      <c r="U39" s="2"/>
      <c r="V39" s="19">
        <f t="shared" si="9"/>
        <v>0</v>
      </c>
      <c r="W39" s="2"/>
      <c r="X39" s="2">
        <f t="shared" si="10"/>
        <v>914798.75</v>
      </c>
      <c r="Y39" s="2"/>
      <c r="Z39" s="19">
        <f t="shared" si="11"/>
        <v>0</v>
      </c>
    </row>
    <row r="40" spans="1:26" s="24" customFormat="1" hidden="1" outlineLevel="1" x14ac:dyDescent="0.3">
      <c r="A40" s="44"/>
      <c r="B40" s="11" t="str">
        <f>CONCATENATE("          ", "5500", " - ", "FREIGHT-IN")</f>
        <v xml:space="preserve">          5500 - FREIGHT-IN</v>
      </c>
      <c r="C40" s="11"/>
      <c r="D40" s="2">
        <v>6589.64</v>
      </c>
      <c r="E40" s="2"/>
      <c r="F40" s="19">
        <f t="shared" si="4"/>
        <v>4.3368313598915785E-3</v>
      </c>
      <c r="G40" s="2"/>
      <c r="H40" s="2"/>
      <c r="I40" s="2"/>
      <c r="J40" s="19">
        <f t="shared" si="5"/>
        <v>0</v>
      </c>
      <c r="K40" s="2"/>
      <c r="L40" s="2">
        <f t="shared" si="6"/>
        <v>6589.64</v>
      </c>
      <c r="M40" s="2"/>
      <c r="N40" s="19">
        <f t="shared" si="7"/>
        <v>0</v>
      </c>
      <c r="O40" s="11"/>
      <c r="P40" s="2">
        <v>10174.67</v>
      </c>
      <c r="Q40" s="2"/>
      <c r="R40" s="19">
        <f t="shared" si="8"/>
        <v>5.8476532830413859E-3</v>
      </c>
      <c r="S40" s="2"/>
      <c r="T40" s="2"/>
      <c r="U40" s="2"/>
      <c r="V40" s="19">
        <f t="shared" si="9"/>
        <v>0</v>
      </c>
      <c r="W40" s="2"/>
      <c r="X40" s="2">
        <f t="shared" si="10"/>
        <v>10174.67</v>
      </c>
      <c r="Y40" s="2"/>
      <c r="Z40" s="19">
        <f t="shared" si="11"/>
        <v>0</v>
      </c>
    </row>
    <row r="41" spans="1:26" s="24" customFormat="1" hidden="1" outlineLevel="1" x14ac:dyDescent="0.3">
      <c r="A41" s="44"/>
      <c r="B41" s="11" t="str">
        <f>CONCATENATE("          ", "5501", " - ", "FREIGHT-IN-NEW TEXT")</f>
        <v xml:space="preserve">          5501 - FREIGHT-IN-NEW TEXT</v>
      </c>
      <c r="C41" s="11"/>
      <c r="D41" s="2">
        <v>0</v>
      </c>
      <c r="E41" s="2"/>
      <c r="F41" s="19">
        <f t="shared" si="4"/>
        <v>0</v>
      </c>
      <c r="G41" s="2"/>
      <c r="H41" s="2"/>
      <c r="I41" s="2"/>
      <c r="J41" s="19">
        <f t="shared" si="5"/>
        <v>0</v>
      </c>
      <c r="K41" s="2"/>
      <c r="L41" s="2">
        <f t="shared" si="6"/>
        <v>0</v>
      </c>
      <c r="M41" s="2"/>
      <c r="N41" s="19">
        <f t="shared" si="7"/>
        <v>0</v>
      </c>
      <c r="O41" s="11"/>
      <c r="P41" s="2">
        <v>0</v>
      </c>
      <c r="Q41" s="2"/>
      <c r="R41" s="19">
        <f t="shared" si="8"/>
        <v>0</v>
      </c>
      <c r="S41" s="2"/>
      <c r="T41" s="2"/>
      <c r="U41" s="2"/>
      <c r="V41" s="19">
        <f t="shared" si="9"/>
        <v>0</v>
      </c>
      <c r="W41" s="2"/>
      <c r="X41" s="2">
        <f t="shared" si="10"/>
        <v>0</v>
      </c>
      <c r="Y41" s="2"/>
      <c r="Z41" s="19">
        <f t="shared" si="11"/>
        <v>0</v>
      </c>
    </row>
    <row r="42" spans="1:26" s="24" customFormat="1" hidden="1" outlineLevel="1" x14ac:dyDescent="0.3">
      <c r="A42" s="44"/>
      <c r="B42" s="11" t="str">
        <f>CONCATENATE("          ", "5502", " - ", "FREIGHT-IN-USED TEXT")</f>
        <v xml:space="preserve">          5502 - FREIGHT-IN-USED TEXT</v>
      </c>
      <c r="C42" s="11"/>
      <c r="D42" s="2">
        <v>0</v>
      </c>
      <c r="E42" s="2"/>
      <c r="F42" s="19">
        <f t="shared" si="4"/>
        <v>0</v>
      </c>
      <c r="G42" s="2"/>
      <c r="H42" s="2"/>
      <c r="I42" s="2"/>
      <c r="J42" s="19">
        <f t="shared" si="5"/>
        <v>0</v>
      </c>
      <c r="K42" s="2"/>
      <c r="L42" s="2">
        <f t="shared" si="6"/>
        <v>0</v>
      </c>
      <c r="M42" s="2"/>
      <c r="N42" s="19">
        <f t="shared" si="7"/>
        <v>0</v>
      </c>
      <c r="O42" s="11"/>
      <c r="P42" s="2">
        <v>0</v>
      </c>
      <c r="Q42" s="2"/>
      <c r="R42" s="19">
        <f t="shared" si="8"/>
        <v>0</v>
      </c>
      <c r="S42" s="2"/>
      <c r="T42" s="2"/>
      <c r="U42" s="2"/>
      <c r="V42" s="19">
        <f t="shared" si="9"/>
        <v>0</v>
      </c>
      <c r="W42" s="2"/>
      <c r="X42" s="2">
        <f t="shared" si="10"/>
        <v>0</v>
      </c>
      <c r="Y42" s="2"/>
      <c r="Z42" s="19">
        <f t="shared" si="11"/>
        <v>0</v>
      </c>
    </row>
    <row r="43" spans="1:26" s="24" customFormat="1" hidden="1" outlineLevel="1" x14ac:dyDescent="0.3">
      <c r="A43" s="44"/>
      <c r="B43" s="11" t="str">
        <f>CONCATENATE("          ", "5518", " - ", "FREIGHT-IN-STUDY GUIDES")</f>
        <v xml:space="preserve">          5518 - FREIGHT-IN-STUDY GUIDES</v>
      </c>
      <c r="C43" s="11"/>
      <c r="D43" s="2"/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0</v>
      </c>
      <c r="Q43" s="2"/>
      <c r="R43" s="19">
        <f t="shared" si="8"/>
        <v>0</v>
      </c>
      <c r="S43" s="2"/>
      <c r="T43" s="2"/>
      <c r="U43" s="2"/>
      <c r="V43" s="19">
        <f t="shared" si="9"/>
        <v>0</v>
      </c>
      <c r="W43" s="2"/>
      <c r="X43" s="2">
        <f t="shared" si="10"/>
        <v>0</v>
      </c>
      <c r="Y43" s="2"/>
      <c r="Z43" s="19">
        <f t="shared" si="11"/>
        <v>0</v>
      </c>
    </row>
    <row r="44" spans="1:26" s="24" customFormat="1" hidden="1" outlineLevel="1" x14ac:dyDescent="0.3">
      <c r="A44" s="44"/>
      <c r="B44" s="11" t="str">
        <f>CONCATENATE("          ", "5527", " - ", "FREIGHT-IN-SCHOOL SUPPLIES")</f>
        <v xml:space="preserve">          5527 - FREIGHT-IN-SCHOOL SUPPLIES</v>
      </c>
      <c r="C44" s="11"/>
      <c r="D44" s="2">
        <v>0</v>
      </c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0</v>
      </c>
      <c r="Q44" s="2"/>
      <c r="R44" s="19">
        <f t="shared" si="8"/>
        <v>0</v>
      </c>
      <c r="S44" s="2"/>
      <c r="T44" s="2"/>
      <c r="U44" s="2"/>
      <c r="V44" s="19">
        <f t="shared" si="9"/>
        <v>0</v>
      </c>
      <c r="W44" s="2"/>
      <c r="X44" s="2">
        <f t="shared" si="10"/>
        <v>0</v>
      </c>
      <c r="Y44" s="2"/>
      <c r="Z44" s="19">
        <f t="shared" si="11"/>
        <v>0</v>
      </c>
    </row>
    <row r="45" spans="1:26" s="24" customFormat="1" hidden="1" outlineLevel="1" x14ac:dyDescent="0.3">
      <c r="A45" s="44"/>
      <c r="B45" s="11" t="str">
        <f>CONCATENATE("          ", "5528", " - ", "FREIGHT-IN-ART/TECH")</f>
        <v xml:space="preserve">          5528 - FREIGHT-IN-ART/TECH</v>
      </c>
      <c r="C45" s="11"/>
      <c r="D45" s="2">
        <v>0</v>
      </c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0</v>
      </c>
      <c r="Q45" s="2"/>
      <c r="R45" s="19">
        <f t="shared" si="8"/>
        <v>0</v>
      </c>
      <c r="S45" s="2"/>
      <c r="T45" s="2"/>
      <c r="U45" s="2"/>
      <c r="V45" s="19">
        <f t="shared" si="9"/>
        <v>0</v>
      </c>
      <c r="W45" s="2"/>
      <c r="X45" s="2">
        <f t="shared" si="10"/>
        <v>0</v>
      </c>
      <c r="Y45" s="2"/>
      <c r="Z45" s="19">
        <f t="shared" si="11"/>
        <v>0</v>
      </c>
    </row>
    <row r="46" spans="1:26" s="24" customFormat="1" hidden="1" outlineLevel="1" x14ac:dyDescent="0.3">
      <c r="A46" s="44"/>
      <c r="B46" s="11" t="str">
        <f>CONCATENATE("          ", "5540", " - ", "FREIGHT-IN-LOGO CLOTHING")</f>
        <v xml:space="preserve">          5540 - FREIGHT-IN-LOGO CLOTHING</v>
      </c>
      <c r="C46" s="11"/>
      <c r="D46" s="2">
        <v>0</v>
      </c>
      <c r="E46" s="2"/>
      <c r="F46" s="19">
        <f t="shared" si="4"/>
        <v>0</v>
      </c>
      <c r="G46" s="2"/>
      <c r="H46" s="2"/>
      <c r="I46" s="2"/>
      <c r="J46" s="19">
        <f t="shared" si="5"/>
        <v>0</v>
      </c>
      <c r="K46" s="2"/>
      <c r="L46" s="2">
        <f t="shared" si="6"/>
        <v>0</v>
      </c>
      <c r="M46" s="2"/>
      <c r="N46" s="19">
        <f t="shared" si="7"/>
        <v>0</v>
      </c>
      <c r="O46" s="11"/>
      <c r="P46" s="2">
        <v>0</v>
      </c>
      <c r="Q46" s="2"/>
      <c r="R46" s="19">
        <f t="shared" si="8"/>
        <v>0</v>
      </c>
      <c r="S46" s="2"/>
      <c r="T46" s="2"/>
      <c r="U46" s="2"/>
      <c r="V46" s="19">
        <f t="shared" si="9"/>
        <v>0</v>
      </c>
      <c r="W46" s="2"/>
      <c r="X46" s="2">
        <f t="shared" si="10"/>
        <v>0</v>
      </c>
      <c r="Y46" s="2"/>
      <c r="Z46" s="19">
        <f t="shared" si="11"/>
        <v>0</v>
      </c>
    </row>
    <row r="47" spans="1:26" s="24" customFormat="1" hidden="1" outlineLevel="1" x14ac:dyDescent="0.3">
      <c r="A47" s="44"/>
      <c r="B47" s="11" t="str">
        <f>CONCATENATE("          ", "5541", " - ", "FREIGHT-IN-LOGO GIFTS")</f>
        <v xml:space="preserve">          5541 - FREIGHT-IN-LOGO GIFTS</v>
      </c>
      <c r="C47" s="11"/>
      <c r="D47" s="2">
        <v>0</v>
      </c>
      <c r="E47" s="2"/>
      <c r="F47" s="19">
        <f t="shared" si="4"/>
        <v>0</v>
      </c>
      <c r="G47" s="2"/>
      <c r="H47" s="2"/>
      <c r="I47" s="2"/>
      <c r="J47" s="19">
        <f t="shared" si="5"/>
        <v>0</v>
      </c>
      <c r="K47" s="2"/>
      <c r="L47" s="2">
        <f t="shared" si="6"/>
        <v>0</v>
      </c>
      <c r="M47" s="2"/>
      <c r="N47" s="19">
        <f t="shared" si="7"/>
        <v>0</v>
      </c>
      <c r="O47" s="11"/>
      <c r="P47" s="2">
        <v>0</v>
      </c>
      <c r="Q47" s="2"/>
      <c r="R47" s="19">
        <f t="shared" si="8"/>
        <v>0</v>
      </c>
      <c r="S47" s="2"/>
      <c r="T47" s="2"/>
      <c r="U47" s="2"/>
      <c r="V47" s="19">
        <f t="shared" si="9"/>
        <v>0</v>
      </c>
      <c r="W47" s="2"/>
      <c r="X47" s="2">
        <f t="shared" si="10"/>
        <v>0</v>
      </c>
      <c r="Y47" s="2"/>
      <c r="Z47" s="19">
        <f t="shared" si="11"/>
        <v>0</v>
      </c>
    </row>
    <row r="48" spans="1:26" s="24" customFormat="1" hidden="1" outlineLevel="1" x14ac:dyDescent="0.3">
      <c r="A48" s="44"/>
      <c r="B48" s="11" t="str">
        <f>CONCATENATE("          ", "5542", " - ", "FREIGHT-IN-EVERYDAY GIFTS")</f>
        <v xml:space="preserve">          5542 - FREIGHT-IN-EVERYDAY GIFTS</v>
      </c>
      <c r="C48" s="11"/>
      <c r="D48" s="2">
        <v>0</v>
      </c>
      <c r="E48" s="2"/>
      <c r="F48" s="19">
        <f t="shared" si="4"/>
        <v>0</v>
      </c>
      <c r="G48" s="2"/>
      <c r="H48" s="2"/>
      <c r="I48" s="2"/>
      <c r="J48" s="19">
        <f t="shared" si="5"/>
        <v>0</v>
      </c>
      <c r="K48" s="2"/>
      <c r="L48" s="2">
        <f t="shared" si="6"/>
        <v>0</v>
      </c>
      <c r="M48" s="2"/>
      <c r="N48" s="19">
        <f t="shared" si="7"/>
        <v>0</v>
      </c>
      <c r="O48" s="11"/>
      <c r="P48" s="2">
        <v>0</v>
      </c>
      <c r="Q48" s="2"/>
      <c r="R48" s="19">
        <f t="shared" si="8"/>
        <v>0</v>
      </c>
      <c r="S48" s="2"/>
      <c r="T48" s="2"/>
      <c r="U48" s="2"/>
      <c r="V48" s="19">
        <f t="shared" si="9"/>
        <v>0</v>
      </c>
      <c r="W48" s="2"/>
      <c r="X48" s="2">
        <f t="shared" si="10"/>
        <v>0</v>
      </c>
      <c r="Y48" s="2"/>
      <c r="Z48" s="19">
        <f t="shared" si="11"/>
        <v>0</v>
      </c>
    </row>
    <row r="49" spans="1:26" s="24" customFormat="1" hidden="1" outlineLevel="1" x14ac:dyDescent="0.3">
      <c r="A49" s="44"/>
      <c r="B49" s="11" t="str">
        <f>CONCATENATE("          ", "5544", " - ", "FREIGHT-IN-ACCESSORIES")</f>
        <v xml:space="preserve">          5544 - FREIGHT-IN-ACCESSORIES</v>
      </c>
      <c r="C49" s="11"/>
      <c r="D49" s="2">
        <v>0</v>
      </c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0</v>
      </c>
      <c r="Q49" s="2"/>
      <c r="R49" s="19">
        <f t="shared" si="8"/>
        <v>0</v>
      </c>
      <c r="S49" s="2"/>
      <c r="T49" s="2"/>
      <c r="U49" s="2"/>
      <c r="V49" s="19">
        <f t="shared" si="9"/>
        <v>0</v>
      </c>
      <c r="W49" s="2"/>
      <c r="X49" s="2">
        <f t="shared" si="10"/>
        <v>0</v>
      </c>
      <c r="Y49" s="2"/>
      <c r="Z49" s="19">
        <f t="shared" si="11"/>
        <v>0</v>
      </c>
    </row>
    <row r="50" spans="1:26" s="24" customFormat="1" hidden="1" outlineLevel="1" x14ac:dyDescent="0.3">
      <c r="A50" s="44"/>
      <c r="B50" s="11" t="str">
        <f>CONCATENATE("          ", "5545", " - ", "FREIGHT-IN-SPECIAL ORDERS")</f>
        <v xml:space="preserve">          5545 - FREIGHT-IN-SPECIAL ORDERS</v>
      </c>
      <c r="C50" s="11"/>
      <c r="D50" s="2">
        <v>0</v>
      </c>
      <c r="E50" s="2"/>
      <c r="F50" s="19">
        <f t="shared" si="4"/>
        <v>0</v>
      </c>
      <c r="G50" s="2"/>
      <c r="H50" s="2"/>
      <c r="I50" s="2"/>
      <c r="J50" s="19">
        <f t="shared" si="5"/>
        <v>0</v>
      </c>
      <c r="K50" s="2"/>
      <c r="L50" s="2">
        <f t="shared" si="6"/>
        <v>0</v>
      </c>
      <c r="M50" s="2"/>
      <c r="N50" s="19">
        <f t="shared" si="7"/>
        <v>0</v>
      </c>
      <c r="O50" s="11"/>
      <c r="P50" s="2">
        <v>0</v>
      </c>
      <c r="Q50" s="2"/>
      <c r="R50" s="19">
        <f t="shared" si="8"/>
        <v>0</v>
      </c>
      <c r="S50" s="2"/>
      <c r="T50" s="2"/>
      <c r="U50" s="2"/>
      <c r="V50" s="19">
        <f t="shared" si="9"/>
        <v>0</v>
      </c>
      <c r="W50" s="2"/>
      <c r="X50" s="2">
        <f t="shared" si="10"/>
        <v>0</v>
      </c>
      <c r="Y50" s="2"/>
      <c r="Z50" s="19">
        <f t="shared" si="11"/>
        <v>0</v>
      </c>
    </row>
    <row r="51" spans="1:26" x14ac:dyDescent="0.3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3">
      <c r="A52" s="10"/>
      <c r="B52" s="26" t="s">
        <v>108</v>
      </c>
      <c r="C52" s="26"/>
      <c r="D52" s="21">
        <f>D12-D21</f>
        <v>523875.05999999994</v>
      </c>
      <c r="E52" s="13"/>
      <c r="F52" s="20">
        <f>IF(D$12=0,0,D52/D$12)</f>
        <v>0.3447772243814658</v>
      </c>
      <c r="G52" s="13"/>
      <c r="H52" s="21">
        <f>H12-H21</f>
        <v>892200</v>
      </c>
      <c r="I52" s="13"/>
      <c r="J52" s="20">
        <f>IF(H$12=0,0,H52/H$12)</f>
        <v>0.32399384694940292</v>
      </c>
      <c r="K52" s="16"/>
      <c r="L52" s="21">
        <f>+D52-H52</f>
        <v>-368324.94000000006</v>
      </c>
      <c r="M52" s="16"/>
      <c r="N52" s="20">
        <f>IF(H52=0,0,L52/H52)</f>
        <v>-0.41282777404169474</v>
      </c>
      <c r="O52" s="25"/>
      <c r="P52" s="21">
        <f>P12-P21</f>
        <v>616951.84000000008</v>
      </c>
      <c r="Q52" s="13"/>
      <c r="R52" s="20">
        <f>IF(P$12=0,0,P52/P$12)</f>
        <v>0.35457862050114886</v>
      </c>
      <c r="S52" s="13"/>
      <c r="T52" s="21">
        <f>T12-T21</f>
        <v>1018637</v>
      </c>
      <c r="U52" s="13"/>
      <c r="V52" s="20">
        <f>IF(T$12=0,0,T52/T$12)</f>
        <v>0.33029851922299336</v>
      </c>
      <c r="W52" s="16"/>
      <c r="X52" s="21">
        <f>+P52-T52</f>
        <v>-401685.15999999992</v>
      </c>
      <c r="Y52" s="16"/>
      <c r="Z52" s="20">
        <f>IF(T52=0,0,X52/T52)</f>
        <v>-0.39433592143226676</v>
      </c>
    </row>
    <row r="53" spans="1:26" x14ac:dyDescent="0.3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3">
      <c r="A54" s="10"/>
      <c r="B54" s="25" t="s">
        <v>295</v>
      </c>
      <c r="C54" s="10"/>
      <c r="D54" s="22">
        <f>SUM(OSRRefD22x_0)</f>
        <v>368043.92000000004</v>
      </c>
      <c r="E54" s="22"/>
      <c r="F54" s="31">
        <f t="shared" ref="F54:F65" si="12">IF(D$12=0,0,D54/D$12)</f>
        <v>0.24222027517033215</v>
      </c>
      <c r="G54" s="22"/>
      <c r="H54" s="22">
        <f>SUM(OSRRefH22x_0)</f>
        <v>385749.69293902814</v>
      </c>
      <c r="I54" s="22"/>
      <c r="J54" s="31">
        <f t="shared" ref="J54:J65" si="13">IF(H$12=0,0,H54/H$12)</f>
        <v>0.14008129004132108</v>
      </c>
      <c r="K54" s="4"/>
      <c r="L54" s="22">
        <f t="shared" ref="L54:L65" si="14">+D54-H54</f>
        <v>-17705.772939028102</v>
      </c>
      <c r="M54" s="4"/>
      <c r="N54" s="31">
        <f t="shared" ref="N54:N65" si="15">IF(H54=0,0,L54/H54)</f>
        <v>-4.5899642340938136E-2</v>
      </c>
      <c r="O54" s="10"/>
      <c r="P54" s="22">
        <f>SUM(OSRRefP22x_0)</f>
        <v>743404.15000000014</v>
      </c>
      <c r="Q54" s="22"/>
      <c r="R54" s="31">
        <f t="shared" ref="R54:R65" si="16">IF(P$12=0,0,P54/P$12)</f>
        <v>0.42725412405258267</v>
      </c>
      <c r="S54" s="22"/>
      <c r="T54" s="22">
        <f>SUM(OSRRefT22x_0)</f>
        <v>812241.94346093829</v>
      </c>
      <c r="U54" s="22"/>
      <c r="V54" s="31">
        <f t="shared" ref="V54:V65" si="17">IF(T$12=0,0,T54/T$12)</f>
        <v>0.26337381341533261</v>
      </c>
      <c r="W54" s="4"/>
      <c r="X54" s="22">
        <f t="shared" ref="X54:X65" si="18">+P54-T54</f>
        <v>-68837.793460938148</v>
      </c>
      <c r="Y54" s="4"/>
      <c r="Z54" s="31">
        <f t="shared" ref="Z54:Z65" si="19">IF(T54=0,0,X54/T54)</f>
        <v>-8.4750355500754368E-2</v>
      </c>
    </row>
    <row r="55" spans="1:26" s="28" customFormat="1" outlineLevel="1" collapsed="1" x14ac:dyDescent="0.3">
      <c r="A55" s="29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SUM(OSRRefD22_0x_0)</f>
        <v>52380.290000000008</v>
      </c>
      <c r="E55" s="1"/>
      <c r="F55" s="5">
        <f t="shared" si="12"/>
        <v>3.4472973381279602E-2</v>
      </c>
      <c r="G55" s="1"/>
      <c r="H55" s="1">
        <f>SUM(OSRRefH22_0x_0)</f>
        <v>55965.672201466667</v>
      </c>
      <c r="I55" s="1"/>
      <c r="J55" s="5">
        <f t="shared" si="13"/>
        <v>2.0323395464764006E-2</v>
      </c>
      <c r="K55" s="1"/>
      <c r="L55" s="1">
        <f t="shared" si="14"/>
        <v>-3585.3822014666584</v>
      </c>
      <c r="M55" s="1"/>
      <c r="N55" s="5">
        <f t="shared" si="15"/>
        <v>-6.4063953141845723E-2</v>
      </c>
      <c r="O55" s="14"/>
      <c r="P55" s="1">
        <f>SUM(OSRRefP22_0x_0)</f>
        <v>99806.65</v>
      </c>
      <c r="Q55" s="1"/>
      <c r="R55" s="5">
        <f t="shared" si="16"/>
        <v>5.7361534530541283E-2</v>
      </c>
      <c r="S55" s="1"/>
      <c r="T55" s="1">
        <f>SUM(OSRRefT22_0x_0)</f>
        <v>116385.29367642505</v>
      </c>
      <c r="U55" s="1"/>
      <c r="V55" s="5">
        <f t="shared" si="17"/>
        <v>3.7738556679814697E-2</v>
      </c>
      <c r="W55" s="1"/>
      <c r="X55" s="1">
        <f t="shared" si="18"/>
        <v>-16578.643676425054</v>
      </c>
      <c r="Y55" s="1"/>
      <c r="Z55" s="5">
        <f t="shared" si="19"/>
        <v>-0.14244620735775329</v>
      </c>
    </row>
    <row r="56" spans="1:26" s="24" customFormat="1" hidden="1" outlineLevel="2" x14ac:dyDescent="0.3">
      <c r="A56" s="27"/>
      <c r="B56" s="11" t="str">
        <f>CONCATENATE("          ", "6111", " - ", "F.I.C.A.")</f>
        <v xml:space="preserve">          6111 - F.I.C.A.</v>
      </c>
      <c r="C56" s="11"/>
      <c r="D56" s="6">
        <v>12488.15</v>
      </c>
      <c r="E56" s="2"/>
      <c r="F56" s="7">
        <f t="shared" si="12"/>
        <v>8.2188102152818687E-3</v>
      </c>
      <c r="G56" s="2"/>
      <c r="H56" s="6">
        <v>11244.463494710501</v>
      </c>
      <c r="I56" s="2"/>
      <c r="J56" s="7">
        <f t="shared" si="13"/>
        <v>4.0833187452739101E-3</v>
      </c>
      <c r="K56" s="2"/>
      <c r="L56" s="6">
        <f t="shared" si="14"/>
        <v>1243.6865052894991</v>
      </c>
      <c r="M56" s="2"/>
      <c r="N56" s="7">
        <f t="shared" si="15"/>
        <v>0.11060434371764742</v>
      </c>
      <c r="O56" s="11"/>
      <c r="P56" s="6">
        <v>22116.16</v>
      </c>
      <c r="Q56" s="2"/>
      <c r="R56" s="7">
        <f t="shared" si="16"/>
        <v>1.2710744980649846E-2</v>
      </c>
      <c r="S56" s="2"/>
      <c r="T56" s="6">
        <v>24199.249692473699</v>
      </c>
      <c r="U56" s="2"/>
      <c r="V56" s="7">
        <f t="shared" si="17"/>
        <v>7.8467367077099497E-3</v>
      </c>
      <c r="W56" s="2"/>
      <c r="X56" s="6">
        <f t="shared" si="18"/>
        <v>-2083.089692473699</v>
      </c>
      <c r="Y56" s="2"/>
      <c r="Z56" s="7">
        <f t="shared" si="19"/>
        <v>-8.6080755351748306E-2</v>
      </c>
    </row>
    <row r="57" spans="1:26" s="24" customFormat="1" hidden="1" outlineLevel="2" x14ac:dyDescent="0.3">
      <c r="A57" s="27"/>
      <c r="B57" s="11" t="str">
        <f>CONCATENATE("          ", "6112", " - ", "COMPENSATION INSURANCE")</f>
        <v xml:space="preserve">          6112 - COMPENSATION INSURANCE</v>
      </c>
      <c r="C57" s="11"/>
      <c r="D57" s="6">
        <v>2572.08</v>
      </c>
      <c r="E57" s="2"/>
      <c r="F57" s="7">
        <f t="shared" si="12"/>
        <v>1.6927597265024995E-3</v>
      </c>
      <c r="G57" s="2"/>
      <c r="H57" s="6">
        <v>3865.8361408646201</v>
      </c>
      <c r="I57" s="2"/>
      <c r="J57" s="7">
        <f t="shared" si="13"/>
        <v>1.403841204836093E-3</v>
      </c>
      <c r="K57" s="2"/>
      <c r="L57" s="6">
        <f t="shared" si="14"/>
        <v>-1293.7561408646202</v>
      </c>
      <c r="M57" s="2"/>
      <c r="N57" s="7">
        <f t="shared" si="15"/>
        <v>-0.33466398826083277</v>
      </c>
      <c r="O57" s="11"/>
      <c r="P57" s="6">
        <v>4545.49</v>
      </c>
      <c r="Q57" s="2"/>
      <c r="R57" s="7">
        <f t="shared" si="16"/>
        <v>2.6124139182432241E-3</v>
      </c>
      <c r="S57" s="2"/>
      <c r="T57" s="6">
        <v>7236.2966544453802</v>
      </c>
      <c r="U57" s="2"/>
      <c r="V57" s="7">
        <f t="shared" si="17"/>
        <v>2.3464080625596848E-3</v>
      </c>
      <c r="W57" s="2"/>
      <c r="X57" s="6">
        <f t="shared" si="18"/>
        <v>-2690.8066544453804</v>
      </c>
      <c r="Y57" s="2"/>
      <c r="Z57" s="7">
        <f t="shared" si="19"/>
        <v>-0.3718485826299523</v>
      </c>
    </row>
    <row r="58" spans="1:26" s="24" customFormat="1" hidden="1" outlineLevel="2" x14ac:dyDescent="0.3">
      <c r="A58" s="27"/>
      <c r="B58" s="11" t="str">
        <f>CONCATENATE("          ", "6113", " - ", "GROUP INSURANCE")</f>
        <v xml:space="preserve">          6113 - GROUP INSURANCE</v>
      </c>
      <c r="C58" s="11"/>
      <c r="D58" s="6">
        <v>17896.5</v>
      </c>
      <c r="E58" s="2"/>
      <c r="F58" s="7">
        <f t="shared" si="12"/>
        <v>1.1778200695682866E-2</v>
      </c>
      <c r="G58" s="2"/>
      <c r="H58" s="6">
        <v>19669.9230769231</v>
      </c>
      <c r="I58" s="2"/>
      <c r="J58" s="7">
        <f t="shared" si="13"/>
        <v>7.142943338815458E-3</v>
      </c>
      <c r="K58" s="2"/>
      <c r="L58" s="6">
        <f t="shared" si="14"/>
        <v>-1773.4230769230999</v>
      </c>
      <c r="M58" s="2"/>
      <c r="N58" s="7">
        <f t="shared" si="15"/>
        <v>-9.0159126194229652E-2</v>
      </c>
      <c r="O58" s="11"/>
      <c r="P58" s="6">
        <v>35793</v>
      </c>
      <c r="Q58" s="2"/>
      <c r="R58" s="7">
        <f t="shared" si="16"/>
        <v>2.0571188447379651E-2</v>
      </c>
      <c r="S58" s="2"/>
      <c r="T58" s="6">
        <v>40408.0769230769</v>
      </c>
      <c r="U58" s="2"/>
      <c r="V58" s="7">
        <f t="shared" si="17"/>
        <v>1.3102536008746108E-2</v>
      </c>
      <c r="W58" s="2"/>
      <c r="X58" s="6">
        <f t="shared" si="18"/>
        <v>-4615.0769230769001</v>
      </c>
      <c r="Y58" s="2"/>
      <c r="Z58" s="7">
        <f t="shared" si="19"/>
        <v>-0.1142117436536864</v>
      </c>
    </row>
    <row r="59" spans="1:26" s="24" customFormat="1" hidden="1" outlineLevel="2" x14ac:dyDescent="0.3">
      <c r="A59" s="27"/>
      <c r="B59" s="11" t="str">
        <f>CONCATENATE("          ", "6114", " - ", "STATE UNEMPLOYMENT INSURANCE")</f>
        <v xml:space="preserve">          6114 - STATE UNEMPLOYMENT INSURANCE</v>
      </c>
      <c r="C59" s="11"/>
      <c r="D59" s="6">
        <v>466.29</v>
      </c>
      <c r="E59" s="2"/>
      <c r="F59" s="7">
        <f t="shared" si="12"/>
        <v>3.068788423652649E-4</v>
      </c>
      <c r="G59" s="2"/>
      <c r="H59" s="6">
        <v>480.60879669923099</v>
      </c>
      <c r="I59" s="2"/>
      <c r="J59" s="7">
        <f t="shared" si="13"/>
        <v>1.7452846101805353E-4</v>
      </c>
      <c r="K59" s="2"/>
      <c r="L59" s="6">
        <f t="shared" si="14"/>
        <v>-14.318796699230973</v>
      </c>
      <c r="M59" s="2"/>
      <c r="N59" s="7">
        <f t="shared" si="15"/>
        <v>-2.9793039156942015E-2</v>
      </c>
      <c r="O59" s="11"/>
      <c r="P59" s="6">
        <v>823.82</v>
      </c>
      <c r="Q59" s="2"/>
      <c r="R59" s="7">
        <f t="shared" si="16"/>
        <v>4.7347125043221597E-4</v>
      </c>
      <c r="S59" s="2"/>
      <c r="T59" s="6">
        <v>916.96197382326898</v>
      </c>
      <c r="U59" s="2"/>
      <c r="V59" s="7">
        <f t="shared" si="17"/>
        <v>2.9732984580141788E-4</v>
      </c>
      <c r="W59" s="2"/>
      <c r="X59" s="6">
        <f t="shared" si="18"/>
        <v>-93.141973823268927</v>
      </c>
      <c r="Y59" s="2"/>
      <c r="Z59" s="7">
        <f t="shared" si="19"/>
        <v>-0.10157670272292085</v>
      </c>
    </row>
    <row r="60" spans="1:26" s="24" customFormat="1" hidden="1" outlineLevel="2" x14ac:dyDescent="0.3">
      <c r="A60" s="27"/>
      <c r="B60" s="11" t="str">
        <f>CONCATENATE("          ", "6115", " - ", "P.E.R.S.")</f>
        <v xml:space="preserve">          6115 - P.E.R.S.</v>
      </c>
      <c r="C60" s="11"/>
      <c r="D60" s="6">
        <v>6296.23</v>
      </c>
      <c r="E60" s="2"/>
      <c r="F60" s="7">
        <f t="shared" si="12"/>
        <v>4.1437298112021528E-3</v>
      </c>
      <c r="G60" s="2"/>
      <c r="H60" s="6">
        <v>5274.4699354922996</v>
      </c>
      <c r="I60" s="2"/>
      <c r="J60" s="7">
        <f t="shared" si="13"/>
        <v>1.9153730161613083E-3</v>
      </c>
      <c r="K60" s="2"/>
      <c r="L60" s="6">
        <f t="shared" si="14"/>
        <v>1021.7600645077</v>
      </c>
      <c r="M60" s="2"/>
      <c r="N60" s="7">
        <f t="shared" si="15"/>
        <v>0.19371805641211465</v>
      </c>
      <c r="O60" s="11"/>
      <c r="P60" s="6">
        <v>12592.46</v>
      </c>
      <c r="Q60" s="2"/>
      <c r="R60" s="7">
        <f t="shared" si="16"/>
        <v>7.2372214588352565E-3</v>
      </c>
      <c r="S60" s="2"/>
      <c r="T60" s="6">
        <v>11867.557354857699</v>
      </c>
      <c r="U60" s="2"/>
      <c r="V60" s="7">
        <f t="shared" si="17"/>
        <v>3.8481192231417491E-3</v>
      </c>
      <c r="W60" s="2"/>
      <c r="X60" s="6">
        <f t="shared" si="18"/>
        <v>724.90264514229966</v>
      </c>
      <c r="Y60" s="2"/>
      <c r="Z60" s="7">
        <f t="shared" si="19"/>
        <v>6.1082716810766303E-2</v>
      </c>
    </row>
    <row r="61" spans="1:26" s="24" customFormat="1" hidden="1" outlineLevel="2" x14ac:dyDescent="0.3">
      <c r="A61" s="27"/>
      <c r="B61" s="11" t="str">
        <f>CONCATENATE("          ", "6116", " - ", "EDUCATIONAL BENEFITS")</f>
        <v xml:space="preserve">          6116 - EDUCATIONAL BENEFITS</v>
      </c>
      <c r="C61" s="11"/>
      <c r="D61" s="6"/>
      <c r="E61" s="2"/>
      <c r="F61" s="7">
        <f t="shared" si="12"/>
        <v>0</v>
      </c>
      <c r="G61" s="2"/>
      <c r="H61" s="6">
        <v>0</v>
      </c>
      <c r="I61" s="2"/>
      <c r="J61" s="7">
        <f t="shared" si="13"/>
        <v>0</v>
      </c>
      <c r="K61" s="2"/>
      <c r="L61" s="6">
        <f t="shared" si="14"/>
        <v>0</v>
      </c>
      <c r="M61" s="2"/>
      <c r="N61" s="7">
        <f t="shared" si="15"/>
        <v>0</v>
      </c>
      <c r="O61" s="11"/>
      <c r="P61" s="6"/>
      <c r="Q61" s="2"/>
      <c r="R61" s="7">
        <f t="shared" si="16"/>
        <v>0</v>
      </c>
      <c r="S61" s="2"/>
      <c r="T61" s="6">
        <v>0</v>
      </c>
      <c r="U61" s="2"/>
      <c r="V61" s="7">
        <f t="shared" si="17"/>
        <v>0</v>
      </c>
      <c r="W61" s="2"/>
      <c r="X61" s="6">
        <f t="shared" si="18"/>
        <v>0</v>
      </c>
      <c r="Y61" s="2"/>
      <c r="Z61" s="7">
        <f t="shared" si="19"/>
        <v>0</v>
      </c>
    </row>
    <row r="62" spans="1:26" s="24" customFormat="1" hidden="1" outlineLevel="2" x14ac:dyDescent="0.3">
      <c r="A62" s="27"/>
      <c r="B62" s="11" t="str">
        <f>CONCATENATE("          ", "6117", " - ", "RETIREMENT STAFF HOURLY")</f>
        <v xml:space="preserve">          6117 - RETIREMENT STAFF HOURLY</v>
      </c>
      <c r="C62" s="11"/>
      <c r="D62" s="6">
        <v>962.68</v>
      </c>
      <c r="E62" s="2"/>
      <c r="F62" s="7">
        <f t="shared" si="12"/>
        <v>6.3356735930042082E-4</v>
      </c>
      <c r="G62" s="2"/>
      <c r="H62" s="6"/>
      <c r="I62" s="2"/>
      <c r="J62" s="7">
        <f t="shared" si="13"/>
        <v>0</v>
      </c>
      <c r="K62" s="2"/>
      <c r="L62" s="6">
        <f t="shared" si="14"/>
        <v>962.68</v>
      </c>
      <c r="M62" s="2"/>
      <c r="N62" s="7">
        <f t="shared" si="15"/>
        <v>0</v>
      </c>
      <c r="O62" s="11"/>
      <c r="P62" s="6">
        <v>1515.53</v>
      </c>
      <c r="Q62" s="2"/>
      <c r="R62" s="7">
        <f t="shared" si="16"/>
        <v>8.710153724934284E-4</v>
      </c>
      <c r="S62" s="2"/>
      <c r="T62" s="6"/>
      <c r="U62" s="2"/>
      <c r="V62" s="7">
        <f t="shared" si="17"/>
        <v>0</v>
      </c>
      <c r="W62" s="2"/>
      <c r="X62" s="6">
        <f t="shared" si="18"/>
        <v>1515.53</v>
      </c>
      <c r="Y62" s="2"/>
      <c r="Z62" s="7">
        <f t="shared" si="19"/>
        <v>0</v>
      </c>
    </row>
    <row r="63" spans="1:26" s="24" customFormat="1" hidden="1" outlineLevel="2" x14ac:dyDescent="0.3">
      <c r="A63" s="27"/>
      <c r="B63" s="11" t="str">
        <f>CONCATENATE("          ", "6118", " - ", "VACATION")</f>
        <v xml:space="preserve">          6118 - VACATION</v>
      </c>
      <c r="C63" s="11"/>
      <c r="D63" s="6">
        <v>5549.94</v>
      </c>
      <c r="E63" s="2"/>
      <c r="F63" s="7">
        <f t="shared" si="12"/>
        <v>3.6525749263262739E-3</v>
      </c>
      <c r="G63" s="2"/>
      <c r="H63" s="6">
        <v>4793.0760803615303</v>
      </c>
      <c r="I63" s="2"/>
      <c r="J63" s="7">
        <f t="shared" si="13"/>
        <v>1.7405594687261799E-3</v>
      </c>
      <c r="K63" s="2"/>
      <c r="L63" s="6">
        <f t="shared" si="14"/>
        <v>756.86391963846927</v>
      </c>
      <c r="M63" s="2"/>
      <c r="N63" s="7">
        <f t="shared" si="15"/>
        <v>0.15790776256182038</v>
      </c>
      <c r="O63" s="11"/>
      <c r="P63" s="6">
        <v>10950.73</v>
      </c>
      <c r="Q63" s="2"/>
      <c r="R63" s="7">
        <f t="shared" si="16"/>
        <v>6.2936755920535792E-3</v>
      </c>
      <c r="S63" s="2"/>
      <c r="T63" s="6">
        <v>10784.421180813501</v>
      </c>
      <c r="U63" s="2"/>
      <c r="V63" s="7">
        <f t="shared" si="17"/>
        <v>3.4969065002545406E-3</v>
      </c>
      <c r="W63" s="2"/>
      <c r="X63" s="6">
        <f t="shared" si="18"/>
        <v>166.30881918649902</v>
      </c>
      <c r="Y63" s="2"/>
      <c r="Z63" s="7">
        <f t="shared" si="19"/>
        <v>1.5421209576122459E-2</v>
      </c>
    </row>
    <row r="64" spans="1:26" s="24" customFormat="1" hidden="1" outlineLevel="2" x14ac:dyDescent="0.3">
      <c r="A64" s="27"/>
      <c r="B64" s="11" t="str">
        <f>CONCATENATE("          ", "6119", " - ", "SICK LEAVE")</f>
        <v xml:space="preserve">          6119 - SICK LEAVE</v>
      </c>
      <c r="C64" s="11"/>
      <c r="D64" s="6">
        <v>3886.05</v>
      </c>
      <c r="E64" s="2"/>
      <c r="F64" s="7">
        <f t="shared" si="12"/>
        <v>2.5575211249941835E-3</v>
      </c>
      <c r="G64" s="2"/>
      <c r="H64" s="6">
        <v>8187.2946764153803</v>
      </c>
      <c r="I64" s="2"/>
      <c r="J64" s="7">
        <f t="shared" si="13"/>
        <v>2.9731372991707982E-3</v>
      </c>
      <c r="K64" s="2"/>
      <c r="L64" s="6">
        <f t="shared" si="14"/>
        <v>-4301.2446764153801</v>
      </c>
      <c r="M64" s="2"/>
      <c r="N64" s="7">
        <f t="shared" si="15"/>
        <v>-0.52535603595723779</v>
      </c>
      <c r="O64" s="11"/>
      <c r="P64" s="6">
        <v>7772.1</v>
      </c>
      <c r="Q64" s="2"/>
      <c r="R64" s="7">
        <f t="shared" si="16"/>
        <v>4.4668324457821191E-3</v>
      </c>
      <c r="S64" s="2"/>
      <c r="T64" s="6">
        <v>16072.729896934599</v>
      </c>
      <c r="U64" s="2"/>
      <c r="V64" s="7">
        <f t="shared" si="17"/>
        <v>5.2116690094986071E-3</v>
      </c>
      <c r="W64" s="2"/>
      <c r="X64" s="6">
        <f t="shared" si="18"/>
        <v>-8300.6298969345989</v>
      </c>
      <c r="Y64" s="2"/>
      <c r="Z64" s="7">
        <f t="shared" si="19"/>
        <v>-0.51644182103238734</v>
      </c>
    </row>
    <row r="65" spans="1:26" s="24" customFormat="1" hidden="1" outlineLevel="2" x14ac:dyDescent="0.3">
      <c r="A65" s="27"/>
      <c r="B65" s="11" t="str">
        <f>CONCATENATE("          ", "6156", " - ", "EMPLOYEE MEALS")</f>
        <v xml:space="preserve">          6156 - EMPLOYEE MEALS</v>
      </c>
      <c r="C65" s="11"/>
      <c r="D65" s="6">
        <v>2262.37</v>
      </c>
      <c r="E65" s="2"/>
      <c r="F65" s="7">
        <f t="shared" si="12"/>
        <v>1.488930679624063E-3</v>
      </c>
      <c r="G65" s="2"/>
      <c r="H65" s="6">
        <v>2450</v>
      </c>
      <c r="I65" s="2"/>
      <c r="J65" s="7">
        <f t="shared" si="13"/>
        <v>8.8969393076220266E-4</v>
      </c>
      <c r="K65" s="2"/>
      <c r="L65" s="6">
        <f t="shared" si="14"/>
        <v>-187.63000000000011</v>
      </c>
      <c r="M65" s="2"/>
      <c r="N65" s="7">
        <f t="shared" si="15"/>
        <v>-7.6583673469387797E-2</v>
      </c>
      <c r="O65" s="11"/>
      <c r="P65" s="6">
        <v>3697.36</v>
      </c>
      <c r="Q65" s="2"/>
      <c r="R65" s="7">
        <f t="shared" si="16"/>
        <v>2.1249710646719646E-3</v>
      </c>
      <c r="S65" s="2"/>
      <c r="T65" s="6">
        <v>4900</v>
      </c>
      <c r="U65" s="2"/>
      <c r="V65" s="7">
        <f t="shared" si="17"/>
        <v>1.5888513221026404E-3</v>
      </c>
      <c r="W65" s="2"/>
      <c r="X65" s="6">
        <f t="shared" si="18"/>
        <v>-1202.6399999999999</v>
      </c>
      <c r="Y65" s="2"/>
      <c r="Z65" s="7">
        <f t="shared" si="19"/>
        <v>-0.24543673469387753</v>
      </c>
    </row>
    <row r="66" spans="1:26" s="28" customFormat="1" outlineLevel="1" collapsed="1" x14ac:dyDescent="0.3">
      <c r="A66" s="29"/>
      <c r="B66" s="14" t="str">
        <f>CONCATENATE("     ","*Payroll                                          ")</f>
        <v xml:space="preserve">     *Payroll                                          </v>
      </c>
      <c r="C66" s="14"/>
      <c r="D66" s="1">
        <f>SUM(OSRRefD22_1x_0)</f>
        <v>190219.97999999998</v>
      </c>
      <c r="E66" s="1"/>
      <c r="F66" s="5">
        <f t="shared" ref="F66:F76" si="20">IF(D$12=0,0,D66/D$12)</f>
        <v>0.1251892325744576</v>
      </c>
      <c r="G66" s="1"/>
      <c r="H66" s="1">
        <f>SUM(OSRRefH22_1x_0)</f>
        <v>220681.77073756146</v>
      </c>
      <c r="I66" s="1"/>
      <c r="J66" s="5">
        <f t="shared" ref="J66:J76" si="21">IF(H$12=0,0,H66/H$12)</f>
        <v>8.0138462063291532E-2</v>
      </c>
      <c r="K66" s="1"/>
      <c r="L66" s="1">
        <f t="shared" ref="L66:L76" si="22">+D66-H66</f>
        <v>-30461.790737561474</v>
      </c>
      <c r="M66" s="1"/>
      <c r="N66" s="5">
        <f t="shared" ref="N66:N76" si="23">IF(H66=0,0,L66/H66)</f>
        <v>-0.13803492076283527</v>
      </c>
      <c r="O66" s="14"/>
      <c r="P66" s="1">
        <f>SUM(OSRRefP22_1x_0)</f>
        <v>356492.57000000007</v>
      </c>
      <c r="Q66" s="1"/>
      <c r="R66" s="5">
        <f t="shared" ref="R66:R76" si="24">IF(P$12=0,0,P66/P$12)</f>
        <v>0.20488575524713445</v>
      </c>
      <c r="S66" s="1"/>
      <c r="T66" s="1">
        <f>SUM(OSRRefT22_1x_0)</f>
        <v>418072.39978451328</v>
      </c>
      <c r="U66" s="1"/>
      <c r="V66" s="5">
        <f t="shared" ref="V66:V76" si="25">IF(T$12=0,0,T66/T$12)</f>
        <v>0.13556222145556074</v>
      </c>
      <c r="W66" s="1"/>
      <c r="X66" s="1">
        <f t="shared" ref="X66:X76" si="26">+P66-T66</f>
        <v>-61579.829784513218</v>
      </c>
      <c r="Y66" s="1"/>
      <c r="Z66" s="5">
        <f t="shared" ref="Z66:Z76" si="27">IF(T66=0,0,X66/T66)</f>
        <v>-0.14729465474461662</v>
      </c>
    </row>
    <row r="67" spans="1:26" s="24" customFormat="1" hidden="1" outlineLevel="2" x14ac:dyDescent="0.3">
      <c r="A67" s="27"/>
      <c r="B67" s="11" t="str">
        <f>CONCATENATE("          ", "6001", " - ", "ADMINISTRATIVE SALARIES")</f>
        <v xml:space="preserve">          6001 - ADMINISTRATIVE SALARIES</v>
      </c>
      <c r="C67" s="11"/>
      <c r="D67" s="6">
        <v>4479.1000000000004</v>
      </c>
      <c r="E67" s="2"/>
      <c r="F67" s="7">
        <f t="shared" si="20"/>
        <v>2.9478243643188962E-3</v>
      </c>
      <c r="G67" s="2"/>
      <c r="H67" s="6">
        <v>4139.8076923076896</v>
      </c>
      <c r="I67" s="2"/>
      <c r="J67" s="7">
        <f t="shared" si="21"/>
        <v>1.5033313381097272E-3</v>
      </c>
      <c r="K67" s="2"/>
      <c r="L67" s="6">
        <f t="shared" si="22"/>
        <v>339.29230769231071</v>
      </c>
      <c r="M67" s="2"/>
      <c r="N67" s="7">
        <f t="shared" si="23"/>
        <v>8.1958470757653959E-2</v>
      </c>
      <c r="O67" s="11"/>
      <c r="P67" s="6">
        <v>10078.200000000001</v>
      </c>
      <c r="Q67" s="2"/>
      <c r="R67" s="7">
        <f t="shared" si="24"/>
        <v>5.7922094099511533E-3</v>
      </c>
      <c r="S67" s="2"/>
      <c r="T67" s="6">
        <v>9314.5673076923104</v>
      </c>
      <c r="U67" s="2"/>
      <c r="V67" s="7">
        <f t="shared" si="25"/>
        <v>3.0202984860491756E-3</v>
      </c>
      <c r="W67" s="2"/>
      <c r="X67" s="6">
        <f t="shared" si="26"/>
        <v>763.63269230769038</v>
      </c>
      <c r="Y67" s="2"/>
      <c r="Z67" s="7">
        <f t="shared" si="27"/>
        <v>8.1982626469085107E-2</v>
      </c>
    </row>
    <row r="68" spans="1:26" s="24" customFormat="1" hidden="1" outlineLevel="2" x14ac:dyDescent="0.3">
      <c r="A68" s="27"/>
      <c r="B68" s="11" t="str">
        <f>CONCATENATE("          ", "6002", " - ", "STAFF SALARIES")</f>
        <v xml:space="preserve">          6002 - STAFF SALARIES</v>
      </c>
      <c r="C68" s="11"/>
      <c r="D68" s="6">
        <v>58749.01</v>
      </c>
      <c r="E68" s="2"/>
      <c r="F68" s="7">
        <f t="shared" si="20"/>
        <v>3.8664410943630302E-2</v>
      </c>
      <c r="G68" s="2"/>
      <c r="H68" s="6">
        <v>50764.3507772538</v>
      </c>
      <c r="I68" s="2"/>
      <c r="J68" s="7">
        <f t="shared" si="21"/>
        <v>1.8434585626778043E-2</v>
      </c>
      <c r="K68" s="2"/>
      <c r="L68" s="6">
        <f t="shared" si="22"/>
        <v>7984.6592227462024</v>
      </c>
      <c r="M68" s="2"/>
      <c r="N68" s="7">
        <f t="shared" si="23"/>
        <v>0.15728870950761617</v>
      </c>
      <c r="O68" s="11"/>
      <c r="P68" s="6">
        <v>127285.75</v>
      </c>
      <c r="Q68" s="2"/>
      <c r="R68" s="7">
        <f t="shared" si="24"/>
        <v>7.3154503671557417E-2</v>
      </c>
      <c r="S68" s="2"/>
      <c r="T68" s="6">
        <v>114219.78924882101</v>
      </c>
      <c r="U68" s="2"/>
      <c r="V68" s="7">
        <f t="shared" si="25"/>
        <v>3.7036380236382491E-2</v>
      </c>
      <c r="W68" s="2"/>
      <c r="X68" s="6">
        <f t="shared" si="26"/>
        <v>13065.960751178995</v>
      </c>
      <c r="Y68" s="2"/>
      <c r="Z68" s="7">
        <f t="shared" si="27"/>
        <v>0.11439314357966095</v>
      </c>
    </row>
    <row r="69" spans="1:26" s="24" customFormat="1" hidden="1" outlineLevel="2" x14ac:dyDescent="0.3">
      <c r="A69" s="27"/>
      <c r="B69" s="11" t="str">
        <f>CONCATENATE("          ", "6003", " - ", "STAFF HOURLY-9 MONTH")</f>
        <v xml:space="preserve">          6003 - STAFF HOURLY-9 MONTH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4" customFormat="1" hidden="1" outlineLevel="2" x14ac:dyDescent="0.3">
      <c r="A70" s="27"/>
      <c r="B70" s="11" t="str">
        <f>CONCATENATE("          ", "6004", " - ", "STAFF HOURLY")</f>
        <v xml:space="preserve">          6004 - STAFF HOURLY</v>
      </c>
      <c r="C70" s="11"/>
      <c r="D70" s="6">
        <v>19678.82</v>
      </c>
      <c r="E70" s="2"/>
      <c r="F70" s="7">
        <f t="shared" si="20"/>
        <v>1.2951196681709713E-2</v>
      </c>
      <c r="G70" s="2"/>
      <c r="H70" s="6">
        <v>37637.889768000001</v>
      </c>
      <c r="I70" s="2"/>
      <c r="J70" s="7">
        <f t="shared" si="21"/>
        <v>1.3667837589096492E-2</v>
      </c>
      <c r="K70" s="2"/>
      <c r="L70" s="6">
        <f t="shared" si="22"/>
        <v>-17959.069768000001</v>
      </c>
      <c r="M70" s="2"/>
      <c r="N70" s="7">
        <f t="shared" si="23"/>
        <v>-0.47715400301929067</v>
      </c>
      <c r="O70" s="11"/>
      <c r="P70" s="6">
        <v>37763.199999999997</v>
      </c>
      <c r="Q70" s="2"/>
      <c r="R70" s="7">
        <f t="shared" si="24"/>
        <v>2.1703514753613477E-2</v>
      </c>
      <c r="S70" s="2"/>
      <c r="T70" s="6">
        <v>79510.908228</v>
      </c>
      <c r="U70" s="2"/>
      <c r="V70" s="7">
        <f t="shared" si="25"/>
        <v>2.5781839114212144E-2</v>
      </c>
      <c r="W70" s="2"/>
      <c r="X70" s="6">
        <f t="shared" si="26"/>
        <v>-41747.708228000003</v>
      </c>
      <c r="Y70" s="2"/>
      <c r="Z70" s="7">
        <f t="shared" si="27"/>
        <v>-0.52505636218224494</v>
      </c>
    </row>
    <row r="71" spans="1:26" s="24" customFormat="1" hidden="1" outlineLevel="2" x14ac:dyDescent="0.3">
      <c r="A71" s="27"/>
      <c r="B71" s="11" t="str">
        <f>CONCATENATE("          ", "6005", " - ", "TEMPORARY WAGES-HOURLY")</f>
        <v xml:space="preserve">          6005 - TEMPORARY WAGES-HOURLY</v>
      </c>
      <c r="C71" s="11"/>
      <c r="D71" s="6">
        <v>10971.89</v>
      </c>
      <c r="E71" s="2"/>
      <c r="F71" s="7">
        <f t="shared" si="20"/>
        <v>7.2209159573634997E-3</v>
      </c>
      <c r="G71" s="2"/>
      <c r="H71" s="6">
        <v>4181</v>
      </c>
      <c r="I71" s="2"/>
      <c r="J71" s="7">
        <f t="shared" si="21"/>
        <v>1.5182899283741915E-3</v>
      </c>
      <c r="K71" s="2"/>
      <c r="L71" s="6">
        <f t="shared" si="22"/>
        <v>6790.8899999999994</v>
      </c>
      <c r="M71" s="2"/>
      <c r="N71" s="7">
        <f t="shared" si="23"/>
        <v>1.6242262616598899</v>
      </c>
      <c r="O71" s="11"/>
      <c r="P71" s="6">
        <v>20419.689999999999</v>
      </c>
      <c r="Q71" s="2"/>
      <c r="R71" s="7">
        <f t="shared" si="24"/>
        <v>1.1735738580925706E-2</v>
      </c>
      <c r="S71" s="2"/>
      <c r="T71" s="6">
        <v>8191</v>
      </c>
      <c r="U71" s="2"/>
      <c r="V71" s="7">
        <f t="shared" si="25"/>
        <v>2.6559757508862708E-3</v>
      </c>
      <c r="W71" s="2"/>
      <c r="X71" s="6">
        <f t="shared" si="26"/>
        <v>12228.689999999999</v>
      </c>
      <c r="Y71" s="2"/>
      <c r="Z71" s="7">
        <f t="shared" si="27"/>
        <v>1.4929422536930776</v>
      </c>
    </row>
    <row r="72" spans="1:26" s="24" customFormat="1" hidden="1" outlineLevel="2" x14ac:dyDescent="0.3">
      <c r="A72" s="27"/>
      <c r="B72" s="11" t="str">
        <f>CONCATENATE("          ", "6006", " - ", "TEMPORARY PART TIME")</f>
        <v xml:space="preserve">          6006 - TEMPORARY PART TIME</v>
      </c>
      <c r="C72" s="11"/>
      <c r="D72" s="6">
        <v>3273.79</v>
      </c>
      <c r="E72" s="2"/>
      <c r="F72" s="7">
        <f t="shared" si="20"/>
        <v>2.1545752328957957E-3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3273.79</v>
      </c>
      <c r="M72" s="2"/>
      <c r="N72" s="7">
        <f t="shared" si="23"/>
        <v>0</v>
      </c>
      <c r="O72" s="11"/>
      <c r="P72" s="6">
        <v>6138.19</v>
      </c>
      <c r="Q72" s="2"/>
      <c r="R72" s="7">
        <f t="shared" si="24"/>
        <v>3.5277809408493645E-3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6138.19</v>
      </c>
      <c r="Y72" s="2"/>
      <c r="Z72" s="7">
        <f t="shared" si="27"/>
        <v>0</v>
      </c>
    </row>
    <row r="73" spans="1:26" s="24" customFormat="1" hidden="1" outlineLevel="2" x14ac:dyDescent="0.3">
      <c r="A73" s="27"/>
      <c r="B73" s="11" t="str">
        <f>CONCATENATE("          ", "6007", " - ", "STUDENT HOURLY")</f>
        <v xml:space="preserve">          6007 - STUDENT HOURLY</v>
      </c>
      <c r="C73" s="11"/>
      <c r="D73" s="6">
        <v>78788.070000000007</v>
      </c>
      <c r="E73" s="2"/>
      <c r="F73" s="7">
        <f t="shared" si="20"/>
        <v>5.1852691916604389E-2</v>
      </c>
      <c r="G73" s="2"/>
      <c r="H73" s="6">
        <v>45942.8675</v>
      </c>
      <c r="I73" s="2"/>
      <c r="J73" s="7">
        <f t="shared" si="21"/>
        <v>1.6683710357780428E-2</v>
      </c>
      <c r="K73" s="2"/>
      <c r="L73" s="6">
        <f t="shared" si="22"/>
        <v>32845.202500000007</v>
      </c>
      <c r="M73" s="2"/>
      <c r="N73" s="7">
        <f t="shared" si="23"/>
        <v>0.71491407235301552</v>
      </c>
      <c r="O73" s="11"/>
      <c r="P73" s="6">
        <v>130743.89</v>
      </c>
      <c r="Q73" s="2"/>
      <c r="R73" s="7">
        <f t="shared" si="24"/>
        <v>7.5141988643966026E-2</v>
      </c>
      <c r="S73" s="2"/>
      <c r="T73" s="6">
        <v>94320.28</v>
      </c>
      <c r="U73" s="2"/>
      <c r="V73" s="7">
        <f t="shared" si="25"/>
        <v>3.058385746512066E-2</v>
      </c>
      <c r="W73" s="2"/>
      <c r="X73" s="6">
        <f t="shared" si="26"/>
        <v>36423.61</v>
      </c>
      <c r="Y73" s="2"/>
      <c r="Z73" s="7">
        <f t="shared" si="27"/>
        <v>0.38616944309325629</v>
      </c>
    </row>
    <row r="74" spans="1:26" s="24" customFormat="1" hidden="1" outlineLevel="2" x14ac:dyDescent="0.3">
      <c r="A74" s="27"/>
      <c r="B74" s="11" t="str">
        <f>CONCATENATE("          ", "6008", " - ", "STUDENT HOURLY-FICA EXEMPT")</f>
        <v xml:space="preserve">          6008 - STUDENT HOURLY-FICA EXEMPT</v>
      </c>
      <c r="C74" s="11"/>
      <c r="D74" s="6">
        <v>14279.3</v>
      </c>
      <c r="E74" s="2"/>
      <c r="F74" s="7">
        <f t="shared" si="20"/>
        <v>9.397617477935034E-3</v>
      </c>
      <c r="G74" s="2"/>
      <c r="H74" s="6">
        <v>78015.854999999996</v>
      </c>
      <c r="I74" s="2"/>
      <c r="J74" s="7">
        <f t="shared" si="21"/>
        <v>2.8330707223152667E-2</v>
      </c>
      <c r="K74" s="2"/>
      <c r="L74" s="6">
        <f t="shared" si="22"/>
        <v>-63736.554999999993</v>
      </c>
      <c r="M74" s="2"/>
      <c r="N74" s="7">
        <f t="shared" si="23"/>
        <v>-0.81696925580063173</v>
      </c>
      <c r="O74" s="11"/>
      <c r="P74" s="6">
        <v>24063.65</v>
      </c>
      <c r="Q74" s="2"/>
      <c r="R74" s="7">
        <f t="shared" si="24"/>
        <v>1.3830019246271264E-2</v>
      </c>
      <c r="S74" s="2"/>
      <c r="T74" s="6">
        <v>112515.855</v>
      </c>
      <c r="U74" s="2"/>
      <c r="V74" s="7">
        <f t="shared" si="25"/>
        <v>3.6483870402909999E-2</v>
      </c>
      <c r="W74" s="2"/>
      <c r="X74" s="6">
        <f t="shared" si="26"/>
        <v>-88452.204999999987</v>
      </c>
      <c r="Y74" s="2"/>
      <c r="Z74" s="7">
        <f t="shared" si="27"/>
        <v>-0.78613103015570551</v>
      </c>
    </row>
    <row r="75" spans="1:26" s="24" customFormat="1" hidden="1" outlineLevel="2" x14ac:dyDescent="0.3">
      <c r="A75" s="27"/>
      <c r="B75" s="11" t="str">
        <f>CONCATENATE("          ", "6009", " - ", "TEMPORARY-SEASONAL")</f>
        <v xml:space="preserve">          6009 - TEMPORARY-SEASONAL</v>
      </c>
      <c r="C75" s="11"/>
      <c r="D75" s="6"/>
      <c r="E75" s="2"/>
      <c r="F75" s="7">
        <f t="shared" si="20"/>
        <v>0</v>
      </c>
      <c r="G75" s="2"/>
      <c r="H75" s="6">
        <v>0</v>
      </c>
      <c r="I75" s="2"/>
      <c r="J75" s="7">
        <f t="shared" si="21"/>
        <v>0</v>
      </c>
      <c r="K75" s="2"/>
      <c r="L75" s="6">
        <f t="shared" si="22"/>
        <v>0</v>
      </c>
      <c r="M75" s="2"/>
      <c r="N75" s="7">
        <f t="shared" si="23"/>
        <v>0</v>
      </c>
      <c r="O75" s="11"/>
      <c r="P75" s="6"/>
      <c r="Q75" s="2"/>
      <c r="R75" s="7">
        <f t="shared" si="24"/>
        <v>0</v>
      </c>
      <c r="S75" s="2"/>
      <c r="T75" s="6">
        <v>0</v>
      </c>
      <c r="U75" s="2"/>
      <c r="V75" s="7">
        <f t="shared" si="25"/>
        <v>0</v>
      </c>
      <c r="W75" s="2"/>
      <c r="X75" s="6">
        <f t="shared" si="26"/>
        <v>0</v>
      </c>
      <c r="Y75" s="2"/>
      <c r="Z75" s="7">
        <f t="shared" si="27"/>
        <v>0</v>
      </c>
    </row>
    <row r="76" spans="1:26" s="24" customFormat="1" hidden="1" outlineLevel="2" x14ac:dyDescent="0.3">
      <c r="A76" s="27"/>
      <c r="B76" s="11" t="str">
        <f>CONCATENATE("          ", "6010", " - ", "GRATUITY")</f>
        <v xml:space="preserve">          6010 - GRATUITY</v>
      </c>
      <c r="C76" s="11"/>
      <c r="D76" s="6"/>
      <c r="E76" s="2"/>
      <c r="F76" s="7">
        <f t="shared" si="20"/>
        <v>0</v>
      </c>
      <c r="G76" s="2"/>
      <c r="H76" s="6">
        <v>0</v>
      </c>
      <c r="I76" s="2"/>
      <c r="J76" s="7">
        <f t="shared" si="21"/>
        <v>0</v>
      </c>
      <c r="K76" s="2"/>
      <c r="L76" s="6">
        <f t="shared" si="22"/>
        <v>0</v>
      </c>
      <c r="M76" s="2"/>
      <c r="N76" s="7">
        <f t="shared" si="23"/>
        <v>0</v>
      </c>
      <c r="O76" s="11"/>
      <c r="P76" s="6"/>
      <c r="Q76" s="2"/>
      <c r="R76" s="7">
        <f t="shared" si="24"/>
        <v>0</v>
      </c>
      <c r="S76" s="2"/>
      <c r="T76" s="6">
        <v>0</v>
      </c>
      <c r="U76" s="2"/>
      <c r="V76" s="7">
        <f t="shared" si="25"/>
        <v>0</v>
      </c>
      <c r="W76" s="2"/>
      <c r="X76" s="6">
        <f t="shared" si="26"/>
        <v>0</v>
      </c>
      <c r="Y76" s="2"/>
      <c r="Z76" s="7">
        <f t="shared" si="27"/>
        <v>0</v>
      </c>
    </row>
    <row r="77" spans="1:26" s="28" customFormat="1" outlineLevel="1" collapsed="1" x14ac:dyDescent="0.3">
      <c r="A77" s="29"/>
      <c r="B77" s="14" t="str">
        <f>CONCATENATE("     ","Advertising/Promo                                 ")</f>
        <v xml:space="preserve">     Advertising/Promo                                 </v>
      </c>
      <c r="C77" s="14"/>
      <c r="D77" s="1">
        <f>SUM(OSRRefD22_2x_0)</f>
        <v>1630.51</v>
      </c>
      <c r="E77" s="1"/>
      <c r="F77" s="5">
        <f t="shared" ref="F77:F85" si="28">IF(D$12=0,0,D77/D$12)</f>
        <v>1.0730854645499327E-3</v>
      </c>
      <c r="G77" s="1"/>
      <c r="H77" s="1">
        <f>SUM(OSRRefH22_2x_0)</f>
        <v>600</v>
      </c>
      <c r="I77" s="1"/>
      <c r="J77" s="5">
        <f t="shared" ref="J77:J85" si="29">IF(H$12=0,0,H77/H$12)</f>
        <v>2.1788422794176391E-4</v>
      </c>
      <c r="K77" s="1"/>
      <c r="L77" s="1">
        <f t="shared" ref="L77:L85" si="30">+D77-H77</f>
        <v>1030.51</v>
      </c>
      <c r="M77" s="1"/>
      <c r="N77" s="5">
        <f t="shared" ref="N77:N85" si="31">IF(H77=0,0,L77/H77)</f>
        <v>1.7175166666666666</v>
      </c>
      <c r="O77" s="14"/>
      <c r="P77" s="1">
        <f>SUM(OSRRefP22_2x_0)</f>
        <v>2124.14</v>
      </c>
      <c r="Q77" s="1"/>
      <c r="R77" s="5">
        <f t="shared" ref="R77:R85" si="32">IF(P$12=0,0,P77/P$12)</f>
        <v>1.2207997158275924E-3</v>
      </c>
      <c r="S77" s="1"/>
      <c r="T77" s="1">
        <f>SUM(OSRRefT22_2x_0)</f>
        <v>3600</v>
      </c>
      <c r="U77" s="1"/>
      <c r="V77" s="5">
        <f t="shared" ref="V77:V85" si="33">IF(T$12=0,0,T77/T$12)</f>
        <v>1.1673193386876543E-3</v>
      </c>
      <c r="W77" s="1"/>
      <c r="X77" s="1">
        <f t="shared" ref="X77:X85" si="34">+P77-T77</f>
        <v>-1475.8600000000001</v>
      </c>
      <c r="Y77" s="1"/>
      <c r="Z77" s="5">
        <f t="shared" ref="Z77:Z85" si="35">IF(T77=0,0,X77/T77)</f>
        <v>-0.40996111111111116</v>
      </c>
    </row>
    <row r="78" spans="1:26" s="24" customFormat="1" hidden="1" outlineLevel="2" x14ac:dyDescent="0.3">
      <c r="A78" s="27"/>
      <c r="B78" s="11" t="str">
        <f>CONCATENATE("          ", "6362", " - ", "ADVERTISING EXPENSE")</f>
        <v xml:space="preserve">          6362 - ADVERTISING EXPENSE</v>
      </c>
      <c r="C78" s="11"/>
      <c r="D78" s="6">
        <v>1630.51</v>
      </c>
      <c r="E78" s="2"/>
      <c r="F78" s="7">
        <f t="shared" si="28"/>
        <v>1.0730854645499327E-3</v>
      </c>
      <c r="G78" s="2"/>
      <c r="H78" s="6">
        <v>600</v>
      </c>
      <c r="I78" s="2"/>
      <c r="J78" s="7">
        <f t="shared" si="29"/>
        <v>2.1788422794176391E-4</v>
      </c>
      <c r="K78" s="2"/>
      <c r="L78" s="6">
        <f t="shared" si="30"/>
        <v>1030.51</v>
      </c>
      <c r="M78" s="2"/>
      <c r="N78" s="7">
        <f t="shared" si="31"/>
        <v>1.7175166666666666</v>
      </c>
      <c r="O78" s="11"/>
      <c r="P78" s="6">
        <v>2124.14</v>
      </c>
      <c r="Q78" s="2"/>
      <c r="R78" s="7">
        <f t="shared" si="32"/>
        <v>1.2207997158275924E-3</v>
      </c>
      <c r="S78" s="2"/>
      <c r="T78" s="6">
        <v>3600</v>
      </c>
      <c r="U78" s="2"/>
      <c r="V78" s="7">
        <f t="shared" si="33"/>
        <v>1.1673193386876543E-3</v>
      </c>
      <c r="W78" s="2"/>
      <c r="X78" s="6">
        <f t="shared" si="34"/>
        <v>-1475.8600000000001</v>
      </c>
      <c r="Y78" s="2"/>
      <c r="Z78" s="7">
        <f t="shared" si="35"/>
        <v>-0.40996111111111116</v>
      </c>
    </row>
    <row r="79" spans="1:26" s="28" customFormat="1" outlineLevel="1" collapsed="1" x14ac:dyDescent="0.3">
      <c r="A79" s="29"/>
      <c r="B79" s="14" t="str">
        <f>CONCATENATE("     ","Bad Debts/Over/Short                              ")</f>
        <v xml:space="preserve">     Bad Debts/Over/Short                              </v>
      </c>
      <c r="C79" s="14"/>
      <c r="D79" s="1">
        <f>SUM(OSRRefD22_3x_0)</f>
        <v>149.46</v>
      </c>
      <c r="E79" s="1"/>
      <c r="F79" s="5">
        <f t="shared" si="28"/>
        <v>9.8363918977272717E-5</v>
      </c>
      <c r="G79" s="1"/>
      <c r="H79" s="1">
        <f>SUM(OSRRefH22_3x_0)</f>
        <v>235</v>
      </c>
      <c r="I79" s="1"/>
      <c r="J79" s="5">
        <f t="shared" si="29"/>
        <v>8.533798927719086E-5</v>
      </c>
      <c r="K79" s="1"/>
      <c r="L79" s="1">
        <f t="shared" si="30"/>
        <v>-85.539999999999992</v>
      </c>
      <c r="M79" s="1"/>
      <c r="N79" s="5">
        <f t="shared" si="31"/>
        <v>-0.36399999999999999</v>
      </c>
      <c r="O79" s="14"/>
      <c r="P79" s="1">
        <f>SUM(OSRRefP22_3x_0)</f>
        <v>150.72999999999999</v>
      </c>
      <c r="Q79" s="1"/>
      <c r="R79" s="5">
        <f t="shared" si="32"/>
        <v>8.6628537274705518E-5</v>
      </c>
      <c r="S79" s="1"/>
      <c r="T79" s="1">
        <f>SUM(OSRRefT22_3x_0)</f>
        <v>470</v>
      </c>
      <c r="U79" s="1"/>
      <c r="V79" s="5">
        <f t="shared" si="33"/>
        <v>1.5240002477311042E-4</v>
      </c>
      <c r="W79" s="1"/>
      <c r="X79" s="1">
        <f t="shared" si="34"/>
        <v>-319.27</v>
      </c>
      <c r="Y79" s="1"/>
      <c r="Z79" s="5">
        <f t="shared" si="35"/>
        <v>-0.67929787234042549</v>
      </c>
    </row>
    <row r="80" spans="1:26" s="24" customFormat="1" hidden="1" outlineLevel="2" x14ac:dyDescent="0.3">
      <c r="A80" s="27"/>
      <c r="B80" s="11" t="str">
        <f>CONCATENATE("          ", "6272", " - ", "CASH (OVER/SHORT)")</f>
        <v xml:space="preserve">          6272 - CASH (OVER/SHORT)</v>
      </c>
      <c r="C80" s="11"/>
      <c r="D80" s="6">
        <v>149.46</v>
      </c>
      <c r="E80" s="2"/>
      <c r="F80" s="7">
        <f t="shared" si="28"/>
        <v>9.8363918977272717E-5</v>
      </c>
      <c r="G80" s="2"/>
      <c r="H80" s="6">
        <v>235</v>
      </c>
      <c r="I80" s="2"/>
      <c r="J80" s="7">
        <f t="shared" si="29"/>
        <v>8.533798927719086E-5</v>
      </c>
      <c r="K80" s="2"/>
      <c r="L80" s="6">
        <f t="shared" si="30"/>
        <v>-85.539999999999992</v>
      </c>
      <c r="M80" s="2"/>
      <c r="N80" s="7">
        <f t="shared" si="31"/>
        <v>-0.36399999999999999</v>
      </c>
      <c r="O80" s="11"/>
      <c r="P80" s="6">
        <v>150.72999999999999</v>
      </c>
      <c r="Q80" s="2"/>
      <c r="R80" s="7">
        <f t="shared" si="32"/>
        <v>8.6628537274705518E-5</v>
      </c>
      <c r="S80" s="2"/>
      <c r="T80" s="6">
        <v>470</v>
      </c>
      <c r="U80" s="2"/>
      <c r="V80" s="7">
        <f t="shared" si="33"/>
        <v>1.5240002477311042E-4</v>
      </c>
      <c r="W80" s="2"/>
      <c r="X80" s="6">
        <f t="shared" si="34"/>
        <v>-319.27</v>
      </c>
      <c r="Y80" s="2"/>
      <c r="Z80" s="7">
        <f t="shared" si="35"/>
        <v>-0.67929787234042549</v>
      </c>
    </row>
    <row r="81" spans="1:26" s="28" customFormat="1" outlineLevel="1" collapsed="1" x14ac:dyDescent="0.3">
      <c r="A81" s="29"/>
      <c r="B81" s="14" t="str">
        <f>CONCATENATE("     ","Bank/card Fees                                    ")</f>
        <v xml:space="preserve">     Bank/card Fees                                    </v>
      </c>
      <c r="C81" s="14"/>
      <c r="D81" s="1">
        <f>SUM(OSRRefD22_4x_0)</f>
        <v>23422.38</v>
      </c>
      <c r="E81" s="1"/>
      <c r="F81" s="5">
        <f t="shared" si="28"/>
        <v>1.5414941044927693E-2</v>
      </c>
      <c r="G81" s="1"/>
      <c r="H81" s="1">
        <f>SUM(OSRRefH22_4x_0)</f>
        <v>48976.25</v>
      </c>
      <c r="I81" s="1"/>
      <c r="J81" s="5">
        <f t="shared" si="29"/>
        <v>1.7785254031221356E-2</v>
      </c>
      <c r="K81" s="1"/>
      <c r="L81" s="1">
        <f t="shared" si="30"/>
        <v>-25553.87</v>
      </c>
      <c r="M81" s="1"/>
      <c r="N81" s="5">
        <f t="shared" si="31"/>
        <v>-0.52176044511370301</v>
      </c>
      <c r="O81" s="14"/>
      <c r="P81" s="1">
        <f>SUM(OSRRefP22_4x_0)</f>
        <v>27459.72</v>
      </c>
      <c r="Q81" s="1"/>
      <c r="R81" s="5">
        <f t="shared" si="32"/>
        <v>1.5781830939912273E-2</v>
      </c>
      <c r="S81" s="1"/>
      <c r="T81" s="1">
        <f>SUM(OSRRefT22_4x_0)</f>
        <v>60218.25</v>
      </c>
      <c r="U81" s="1"/>
      <c r="V81" s="5">
        <f t="shared" si="33"/>
        <v>1.9526091046368842E-2</v>
      </c>
      <c r="W81" s="1"/>
      <c r="X81" s="1">
        <f t="shared" si="34"/>
        <v>-32758.53</v>
      </c>
      <c r="Y81" s="1"/>
      <c r="Z81" s="5">
        <f t="shared" si="35"/>
        <v>-0.54399671196024457</v>
      </c>
    </row>
    <row r="82" spans="1:26" s="24" customFormat="1" hidden="1" outlineLevel="2" x14ac:dyDescent="0.3">
      <c r="A82" s="27"/>
      <c r="B82" s="11" t="str">
        <f>CONCATENATE("          ", "6381", " - ", "BANK/CREDIT CARD FEES")</f>
        <v xml:space="preserve">          6381 - BANK/CREDIT CARD FEES</v>
      </c>
      <c r="C82" s="11"/>
      <c r="D82" s="6">
        <v>23422.38</v>
      </c>
      <c r="E82" s="2"/>
      <c r="F82" s="7">
        <f t="shared" si="28"/>
        <v>1.5414941044927693E-2</v>
      </c>
      <c r="G82" s="2"/>
      <c r="H82" s="6">
        <v>48976.25</v>
      </c>
      <c r="I82" s="2"/>
      <c r="J82" s="7">
        <f t="shared" si="29"/>
        <v>1.7785254031221356E-2</v>
      </c>
      <c r="K82" s="2"/>
      <c r="L82" s="6">
        <f t="shared" si="30"/>
        <v>-25553.87</v>
      </c>
      <c r="M82" s="2"/>
      <c r="N82" s="7">
        <f t="shared" si="31"/>
        <v>-0.52176044511370301</v>
      </c>
      <c r="O82" s="11"/>
      <c r="P82" s="6">
        <v>27459.72</v>
      </c>
      <c r="Q82" s="2"/>
      <c r="R82" s="7">
        <f t="shared" si="32"/>
        <v>1.5781830939912273E-2</v>
      </c>
      <c r="S82" s="2"/>
      <c r="T82" s="6">
        <v>60218.25</v>
      </c>
      <c r="U82" s="2"/>
      <c r="V82" s="7">
        <f t="shared" si="33"/>
        <v>1.9526091046368842E-2</v>
      </c>
      <c r="W82" s="2"/>
      <c r="X82" s="6">
        <f t="shared" si="34"/>
        <v>-32758.53</v>
      </c>
      <c r="Y82" s="2"/>
      <c r="Z82" s="7">
        <f t="shared" si="35"/>
        <v>-0.54399671196024457</v>
      </c>
    </row>
    <row r="83" spans="1:26" s="28" customFormat="1" outlineLevel="1" collapsed="1" x14ac:dyDescent="0.3">
      <c r="A83" s="29"/>
      <c r="B83" s="14" t="str">
        <f>CONCATENATE("     ","Depreciation                                      ")</f>
        <v xml:space="preserve">     Depreciation                                      </v>
      </c>
      <c r="C83" s="14"/>
      <c r="D83" s="1">
        <f>SUM(OSRRefD22_5x_0)</f>
        <v>37856.22</v>
      </c>
      <c r="E83" s="1"/>
      <c r="F83" s="5">
        <f t="shared" si="28"/>
        <v>2.4914265735754122E-2</v>
      </c>
      <c r="G83" s="1"/>
      <c r="H83" s="1">
        <f>SUM(OSRRefH22_5x_0)</f>
        <v>37734</v>
      </c>
      <c r="I83" s="1"/>
      <c r="J83" s="5">
        <f t="shared" si="29"/>
        <v>1.3702739095257531E-2</v>
      </c>
      <c r="K83" s="1"/>
      <c r="L83" s="1">
        <f t="shared" si="30"/>
        <v>122.22000000000116</v>
      </c>
      <c r="M83" s="1"/>
      <c r="N83" s="5">
        <f t="shared" si="31"/>
        <v>3.2389887104468428E-3</v>
      </c>
      <c r="O83" s="14"/>
      <c r="P83" s="1">
        <f>SUM(OSRRefP22_5x_0)</f>
        <v>75712.44</v>
      </c>
      <c r="Q83" s="1"/>
      <c r="R83" s="5">
        <f t="shared" si="32"/>
        <v>4.3513951640011317E-2</v>
      </c>
      <c r="S83" s="1"/>
      <c r="T83" s="1">
        <f>SUM(OSRRefT22_5x_0)</f>
        <v>75468</v>
      </c>
      <c r="U83" s="1"/>
      <c r="V83" s="5">
        <f t="shared" si="33"/>
        <v>2.4470904403355524E-2</v>
      </c>
      <c r="W83" s="1"/>
      <c r="X83" s="1">
        <f t="shared" si="34"/>
        <v>244.44000000000233</v>
      </c>
      <c r="Y83" s="1"/>
      <c r="Z83" s="5">
        <f t="shared" si="35"/>
        <v>3.2389887104468428E-3</v>
      </c>
    </row>
    <row r="84" spans="1:26" s="24" customFormat="1" hidden="1" outlineLevel="2" x14ac:dyDescent="0.3">
      <c r="A84" s="27"/>
      <c r="B84" s="11" t="str">
        <f>CONCATENATE("          ", "6321", " - ", "BUILDING DEPRECIATION")</f>
        <v xml:space="preserve">          6321 - BUILDING DEPRECIATION</v>
      </c>
      <c r="C84" s="11"/>
      <c r="D84" s="6">
        <v>21477.03</v>
      </c>
      <c r="E84" s="2"/>
      <c r="F84" s="7">
        <f t="shared" si="28"/>
        <v>1.4134650333149038E-2</v>
      </c>
      <c r="G84" s="2"/>
      <c r="H84" s="6"/>
      <c r="I84" s="2"/>
      <c r="J84" s="7">
        <f t="shared" si="29"/>
        <v>0</v>
      </c>
      <c r="K84" s="2"/>
      <c r="L84" s="6">
        <f t="shared" si="30"/>
        <v>21477.03</v>
      </c>
      <c r="M84" s="2"/>
      <c r="N84" s="7">
        <f t="shared" si="31"/>
        <v>0</v>
      </c>
      <c r="O84" s="11"/>
      <c r="P84" s="6">
        <v>42954.06</v>
      </c>
      <c r="Q84" s="2"/>
      <c r="R84" s="7">
        <f t="shared" si="32"/>
        <v>2.468683996424028E-2</v>
      </c>
      <c r="S84" s="2"/>
      <c r="T84" s="6"/>
      <c r="U84" s="2"/>
      <c r="V84" s="7">
        <f t="shared" si="33"/>
        <v>0</v>
      </c>
      <c r="W84" s="2"/>
      <c r="X84" s="6">
        <f t="shared" si="34"/>
        <v>42954.06</v>
      </c>
      <c r="Y84" s="2"/>
      <c r="Z84" s="7">
        <f t="shared" si="35"/>
        <v>0</v>
      </c>
    </row>
    <row r="85" spans="1:26" s="24" customFormat="1" hidden="1" outlineLevel="2" x14ac:dyDescent="0.3">
      <c r="A85" s="27"/>
      <c r="B85" s="11" t="str">
        <f>CONCATENATE("          ", "6322", " - ", "EQUIPMENT DEPRECIATION EXPENSE")</f>
        <v xml:space="preserve">          6322 - EQUIPMENT DEPRECIATION EXPENSE</v>
      </c>
      <c r="C85" s="11"/>
      <c r="D85" s="6">
        <v>16379.19</v>
      </c>
      <c r="E85" s="2"/>
      <c r="F85" s="7">
        <f t="shared" si="28"/>
        <v>1.0779615402605082E-2</v>
      </c>
      <c r="G85" s="2"/>
      <c r="H85" s="6">
        <v>37734</v>
      </c>
      <c r="I85" s="2"/>
      <c r="J85" s="7">
        <f t="shared" si="29"/>
        <v>1.3702739095257531E-2</v>
      </c>
      <c r="K85" s="2"/>
      <c r="L85" s="6">
        <f t="shared" si="30"/>
        <v>-21354.809999999998</v>
      </c>
      <c r="M85" s="2"/>
      <c r="N85" s="7">
        <f t="shared" si="31"/>
        <v>-0.56593019557958335</v>
      </c>
      <c r="O85" s="11"/>
      <c r="P85" s="6">
        <v>32758.38</v>
      </c>
      <c r="Q85" s="2"/>
      <c r="R85" s="7">
        <f t="shared" si="32"/>
        <v>1.8827111675771033E-2</v>
      </c>
      <c r="S85" s="2"/>
      <c r="T85" s="6">
        <v>75468</v>
      </c>
      <c r="U85" s="2"/>
      <c r="V85" s="7">
        <f t="shared" si="33"/>
        <v>2.4470904403355524E-2</v>
      </c>
      <c r="W85" s="2"/>
      <c r="X85" s="6">
        <f t="shared" si="34"/>
        <v>-42709.619999999995</v>
      </c>
      <c r="Y85" s="2"/>
      <c r="Z85" s="7">
        <f t="shared" si="35"/>
        <v>-0.56593019557958335</v>
      </c>
    </row>
    <row r="86" spans="1:26" s="28" customFormat="1" outlineLevel="1" collapsed="1" x14ac:dyDescent="0.3">
      <c r="A86" s="29"/>
      <c r="B86" s="14" t="str">
        <f>CONCATENATE("     ","Discounts and Markdowns                           ")</f>
        <v xml:space="preserve">     Discounts and Markdowns                           </v>
      </c>
      <c r="C86" s="14"/>
      <c r="D86" s="1">
        <f>SUM(OSRRefD22_6x_0)</f>
        <v>-157.30000000000001</v>
      </c>
      <c r="E86" s="1"/>
      <c r="F86" s="5">
        <f t="shared" ref="F86:F88" si="36">IF(D$12=0,0,D86/D$12)</f>
        <v>-1.0352364816756991E-4</v>
      </c>
      <c r="G86" s="1"/>
      <c r="H86" s="1">
        <f>SUM(OSRRefH22_6x_0)</f>
        <v>0</v>
      </c>
      <c r="I86" s="1"/>
      <c r="J86" s="5">
        <f t="shared" ref="J86:J88" si="37">IF(H$12=0,0,H86/H$12)</f>
        <v>0</v>
      </c>
      <c r="K86" s="1"/>
      <c r="L86" s="1">
        <f t="shared" ref="L86:L88" si="38">+D86-H86</f>
        <v>-157.30000000000001</v>
      </c>
      <c r="M86" s="1"/>
      <c r="N86" s="5">
        <f t="shared" ref="N86:N88" si="39">IF(H86=0,0,L86/H86)</f>
        <v>0</v>
      </c>
      <c r="O86" s="14"/>
      <c r="P86" s="1">
        <f>SUM(OSRRefP22_6x_0)</f>
        <v>-157.97999999999999</v>
      </c>
      <c r="Q86" s="1"/>
      <c r="R86" s="5">
        <f t="shared" ref="R86:R88" si="40">IF(P$12=0,0,P86/P$12)</f>
        <v>-9.0795304973515409E-5</v>
      </c>
      <c r="S86" s="1"/>
      <c r="T86" s="1">
        <f>SUM(OSRRefT22_6x_0)</f>
        <v>0</v>
      </c>
      <c r="U86" s="1"/>
      <c r="V86" s="5">
        <f t="shared" ref="V86:V88" si="41">IF(T$12=0,0,T86/T$12)</f>
        <v>0</v>
      </c>
      <c r="W86" s="1"/>
      <c r="X86" s="1">
        <f t="shared" ref="X86:X88" si="42">+P86-T86</f>
        <v>-157.97999999999999</v>
      </c>
      <c r="Y86" s="1"/>
      <c r="Z86" s="5">
        <f t="shared" ref="Z86:Z88" si="43">IF(T86=0,0,X86/T86)</f>
        <v>0</v>
      </c>
    </row>
    <row r="87" spans="1:26" s="24" customFormat="1" hidden="1" outlineLevel="2" x14ac:dyDescent="0.3">
      <c r="A87" s="27"/>
      <c r="B87" s="11" t="str">
        <f>CONCATENATE("          ", "6382", " - ", "DISCOUNTS/MARK DOWNS")</f>
        <v xml:space="preserve">          6382 - DISCOUNTS/MARK DOWNS</v>
      </c>
      <c r="C87" s="11"/>
      <c r="D87" s="6"/>
      <c r="E87" s="2"/>
      <c r="F87" s="7">
        <f t="shared" si="36"/>
        <v>0</v>
      </c>
      <c r="G87" s="2"/>
      <c r="H87" s="6">
        <v>0</v>
      </c>
      <c r="I87" s="2"/>
      <c r="J87" s="7">
        <f t="shared" si="37"/>
        <v>0</v>
      </c>
      <c r="K87" s="2"/>
      <c r="L87" s="6">
        <f t="shared" si="38"/>
        <v>0</v>
      </c>
      <c r="M87" s="2"/>
      <c r="N87" s="7">
        <f t="shared" si="39"/>
        <v>0</v>
      </c>
      <c r="O87" s="11"/>
      <c r="P87" s="6"/>
      <c r="Q87" s="2"/>
      <c r="R87" s="7">
        <f t="shared" si="40"/>
        <v>0</v>
      </c>
      <c r="S87" s="2"/>
      <c r="T87" s="6">
        <v>0</v>
      </c>
      <c r="U87" s="2"/>
      <c r="V87" s="7">
        <f t="shared" si="41"/>
        <v>0</v>
      </c>
      <c r="W87" s="2"/>
      <c r="X87" s="6">
        <f t="shared" si="42"/>
        <v>0</v>
      </c>
      <c r="Y87" s="2"/>
      <c r="Z87" s="7">
        <f t="shared" si="43"/>
        <v>0</v>
      </c>
    </row>
    <row r="88" spans="1:26" s="24" customFormat="1" hidden="1" outlineLevel="2" x14ac:dyDescent="0.3">
      <c r="A88" s="27"/>
      <c r="B88" s="11" t="str">
        <f>CONCATENATE("          ", "9175", " - ", "EARNED DISCOUNTS")</f>
        <v xml:space="preserve">          9175 - EARNED DISCOUNTS</v>
      </c>
      <c r="C88" s="11"/>
      <c r="D88" s="6">
        <v>-157.30000000000001</v>
      </c>
      <c r="E88" s="2"/>
      <c r="F88" s="7">
        <f t="shared" si="36"/>
        <v>-1.0352364816756991E-4</v>
      </c>
      <c r="G88" s="2"/>
      <c r="H88" s="6"/>
      <c r="I88" s="2"/>
      <c r="J88" s="7">
        <f t="shared" si="37"/>
        <v>0</v>
      </c>
      <c r="K88" s="2"/>
      <c r="L88" s="6">
        <f t="shared" si="38"/>
        <v>-157.30000000000001</v>
      </c>
      <c r="M88" s="2"/>
      <c r="N88" s="7">
        <f t="shared" si="39"/>
        <v>0</v>
      </c>
      <c r="O88" s="11"/>
      <c r="P88" s="6">
        <v>-157.97999999999999</v>
      </c>
      <c r="Q88" s="2"/>
      <c r="R88" s="7">
        <f t="shared" si="40"/>
        <v>-9.0795304973515409E-5</v>
      </c>
      <c r="S88" s="2"/>
      <c r="T88" s="6"/>
      <c r="U88" s="2"/>
      <c r="V88" s="7">
        <f t="shared" si="41"/>
        <v>0</v>
      </c>
      <c r="W88" s="2"/>
      <c r="X88" s="6">
        <f t="shared" si="42"/>
        <v>-157.97999999999999</v>
      </c>
      <c r="Y88" s="2"/>
      <c r="Z88" s="7">
        <f t="shared" si="43"/>
        <v>0</v>
      </c>
    </row>
    <row r="89" spans="1:26" s="28" customFormat="1" outlineLevel="1" collapsed="1" x14ac:dyDescent="0.3">
      <c r="A89" s="29"/>
      <c r="B89" s="14" t="str">
        <f>CONCATENATE("     ","Donations                                         ")</f>
        <v xml:space="preserve">     Donations                                         </v>
      </c>
      <c r="C89" s="14"/>
      <c r="D89" s="1">
        <f>SUM(OSRRefD22_7x_0)</f>
        <v>0</v>
      </c>
      <c r="E89" s="1"/>
      <c r="F89" s="5">
        <f t="shared" ref="F89:F97" si="44">IF(D$12=0,0,D89/D$12)</f>
        <v>0</v>
      </c>
      <c r="G89" s="1"/>
      <c r="H89" s="1">
        <f>SUM(OSRRefH22_7x_0)</f>
        <v>1250</v>
      </c>
      <c r="I89" s="1"/>
      <c r="J89" s="5">
        <f t="shared" ref="J89:J97" si="45">IF(H$12=0,0,H89/H$12)</f>
        <v>4.5392547487867478E-4</v>
      </c>
      <c r="K89" s="1"/>
      <c r="L89" s="1">
        <f t="shared" ref="L89:L97" si="46">+D89-H89</f>
        <v>-1250</v>
      </c>
      <c r="M89" s="1"/>
      <c r="N89" s="5">
        <f t="shared" ref="N89:N97" si="47">IF(H89=0,0,L89/H89)</f>
        <v>-1</v>
      </c>
      <c r="O89" s="14"/>
      <c r="P89" s="1">
        <f>SUM(OSRRefP22_7x_0)</f>
        <v>0</v>
      </c>
      <c r="Q89" s="1"/>
      <c r="R89" s="5">
        <f t="shared" ref="R89:R97" si="48">IF(P$12=0,0,P89/P$12)</f>
        <v>0</v>
      </c>
      <c r="S89" s="1"/>
      <c r="T89" s="1">
        <f>SUM(OSRRefT22_7x_0)</f>
        <v>2500</v>
      </c>
      <c r="U89" s="1"/>
      <c r="V89" s="5">
        <f t="shared" ref="V89:V97" si="49">IF(T$12=0,0,T89/T$12)</f>
        <v>8.1063842964420436E-4</v>
      </c>
      <c r="W89" s="1"/>
      <c r="X89" s="1">
        <f t="shared" ref="X89:X97" si="50">+P89-T89</f>
        <v>-2500</v>
      </c>
      <c r="Y89" s="1"/>
      <c r="Z89" s="5">
        <f t="shared" ref="Z89:Z97" si="51">IF(T89=0,0,X89/T89)</f>
        <v>-1</v>
      </c>
    </row>
    <row r="90" spans="1:26" s="24" customFormat="1" hidden="1" outlineLevel="2" x14ac:dyDescent="0.3">
      <c r="A90" s="27"/>
      <c r="B90" s="11" t="str">
        <f>CONCATENATE("          ", "6399", " - ", "DONATION-ON CAMPUS")</f>
        <v xml:space="preserve">          6399 - DONATION-ON CAMPUS</v>
      </c>
      <c r="C90" s="11"/>
      <c r="D90" s="6"/>
      <c r="E90" s="2"/>
      <c r="F90" s="7">
        <f t="shared" si="44"/>
        <v>0</v>
      </c>
      <c r="G90" s="2"/>
      <c r="H90" s="6">
        <v>1250</v>
      </c>
      <c r="I90" s="2"/>
      <c r="J90" s="7">
        <f t="shared" si="45"/>
        <v>4.5392547487867478E-4</v>
      </c>
      <c r="K90" s="2"/>
      <c r="L90" s="6">
        <f t="shared" si="46"/>
        <v>-1250</v>
      </c>
      <c r="M90" s="2"/>
      <c r="N90" s="7">
        <f t="shared" si="47"/>
        <v>-1</v>
      </c>
      <c r="O90" s="11"/>
      <c r="P90" s="6"/>
      <c r="Q90" s="2"/>
      <c r="R90" s="7">
        <f t="shared" si="48"/>
        <v>0</v>
      </c>
      <c r="S90" s="2"/>
      <c r="T90" s="6">
        <v>2500</v>
      </c>
      <c r="U90" s="2"/>
      <c r="V90" s="7">
        <f t="shared" si="49"/>
        <v>8.1063842964420436E-4</v>
      </c>
      <c r="W90" s="2"/>
      <c r="X90" s="6">
        <f t="shared" si="50"/>
        <v>-2500</v>
      </c>
      <c r="Y90" s="2"/>
      <c r="Z90" s="7">
        <f t="shared" si="51"/>
        <v>-1</v>
      </c>
    </row>
    <row r="91" spans="1:26" s="28" customFormat="1" outlineLevel="1" collapsed="1" x14ac:dyDescent="0.3">
      <c r="A91" s="29"/>
      <c r="B91" s="14" t="str">
        <f>CONCATENATE("     ","Employees' Appreciation                           ")</f>
        <v xml:space="preserve">     Employees' Appreciation                           </v>
      </c>
      <c r="C91" s="14"/>
      <c r="D91" s="1">
        <f>SUM(OSRRefD22_8x_0)</f>
        <v>400</v>
      </c>
      <c r="E91" s="1"/>
      <c r="F91" s="5">
        <f t="shared" si="44"/>
        <v>2.6325148930087704E-4</v>
      </c>
      <c r="G91" s="1"/>
      <c r="H91" s="1">
        <f>SUM(OSRRefH22_8x_0)</f>
        <v>225</v>
      </c>
      <c r="I91" s="1"/>
      <c r="J91" s="5">
        <f t="shared" si="45"/>
        <v>8.170658547816147E-5</v>
      </c>
      <c r="K91" s="1"/>
      <c r="L91" s="1">
        <f t="shared" si="46"/>
        <v>175</v>
      </c>
      <c r="M91" s="1"/>
      <c r="N91" s="5">
        <f t="shared" si="47"/>
        <v>0.77777777777777779</v>
      </c>
      <c r="O91" s="14"/>
      <c r="P91" s="1">
        <f>SUM(OSRRefP22_8x_0)</f>
        <v>937.36</v>
      </c>
      <c r="Q91" s="1"/>
      <c r="R91" s="5">
        <f t="shared" si="48"/>
        <v>5.3872570622847456E-4</v>
      </c>
      <c r="S91" s="1"/>
      <c r="T91" s="1">
        <f>SUM(OSRRefT22_8x_0)</f>
        <v>450</v>
      </c>
      <c r="U91" s="1"/>
      <c r="V91" s="5">
        <f t="shared" si="49"/>
        <v>1.4591491733595679E-4</v>
      </c>
      <c r="W91" s="1"/>
      <c r="X91" s="1">
        <f t="shared" si="50"/>
        <v>487.36</v>
      </c>
      <c r="Y91" s="1"/>
      <c r="Z91" s="5">
        <f t="shared" si="51"/>
        <v>1.0830222222222223</v>
      </c>
    </row>
    <row r="92" spans="1:26" s="24" customFormat="1" hidden="1" outlineLevel="2" x14ac:dyDescent="0.3">
      <c r="A92" s="27"/>
      <c r="B92" s="11" t="str">
        <f>CONCATENATE("          ", "6277", " - ", "EMPLOYEE APPRECIATION")</f>
        <v xml:space="preserve">          6277 - EMPLOYEE APPRECIATION</v>
      </c>
      <c r="C92" s="11"/>
      <c r="D92" s="6">
        <v>400</v>
      </c>
      <c r="E92" s="2"/>
      <c r="F92" s="7">
        <f t="shared" si="44"/>
        <v>2.6325148930087704E-4</v>
      </c>
      <c r="G92" s="2"/>
      <c r="H92" s="6">
        <v>225</v>
      </c>
      <c r="I92" s="2"/>
      <c r="J92" s="7">
        <f t="shared" si="45"/>
        <v>8.170658547816147E-5</v>
      </c>
      <c r="K92" s="2"/>
      <c r="L92" s="6">
        <f t="shared" si="46"/>
        <v>175</v>
      </c>
      <c r="M92" s="2"/>
      <c r="N92" s="7">
        <f t="shared" si="47"/>
        <v>0.77777777777777779</v>
      </c>
      <c r="O92" s="11"/>
      <c r="P92" s="6">
        <v>937.36</v>
      </c>
      <c r="Q92" s="2"/>
      <c r="R92" s="7">
        <f t="shared" si="48"/>
        <v>5.3872570622847456E-4</v>
      </c>
      <c r="S92" s="2"/>
      <c r="T92" s="6">
        <v>450</v>
      </c>
      <c r="U92" s="2"/>
      <c r="V92" s="7">
        <f t="shared" si="49"/>
        <v>1.4591491733595679E-4</v>
      </c>
      <c r="W92" s="2"/>
      <c r="X92" s="6">
        <f t="shared" si="50"/>
        <v>487.36</v>
      </c>
      <c r="Y92" s="2"/>
      <c r="Z92" s="7">
        <f t="shared" si="51"/>
        <v>1.0830222222222223</v>
      </c>
    </row>
    <row r="93" spans="1:26" s="28" customFormat="1" outlineLevel="1" collapsed="1" x14ac:dyDescent="0.3">
      <c r="A93" s="29"/>
      <c r="B93" s="14" t="str">
        <f>CONCATENATE("     ","Equipment Rental                                  ")</f>
        <v xml:space="preserve">     Equipment Rental                                  </v>
      </c>
      <c r="C93" s="14"/>
      <c r="D93" s="1">
        <f>SUM(OSRRefD22_9x_0)</f>
        <v>2303.73</v>
      </c>
      <c r="E93" s="1"/>
      <c r="F93" s="5">
        <f t="shared" si="44"/>
        <v>1.5161508836177737E-3</v>
      </c>
      <c r="G93" s="1"/>
      <c r="H93" s="1">
        <f>SUM(OSRRefH22_9x_0)</f>
        <v>1776</v>
      </c>
      <c r="I93" s="1"/>
      <c r="J93" s="5">
        <f t="shared" si="45"/>
        <v>6.4493731470762112E-4</v>
      </c>
      <c r="K93" s="1"/>
      <c r="L93" s="1">
        <f t="shared" si="46"/>
        <v>527.73</v>
      </c>
      <c r="M93" s="1"/>
      <c r="N93" s="5">
        <f t="shared" si="47"/>
        <v>0.29714527027027027</v>
      </c>
      <c r="O93" s="14"/>
      <c r="P93" s="1">
        <f>SUM(OSRRefP22_9x_0)</f>
        <v>3691.89</v>
      </c>
      <c r="Q93" s="1"/>
      <c r="R93" s="5">
        <f t="shared" si="48"/>
        <v>2.1218273102840348E-3</v>
      </c>
      <c r="S93" s="1"/>
      <c r="T93" s="1">
        <f>SUM(OSRRefT22_9x_0)</f>
        <v>3552</v>
      </c>
      <c r="U93" s="1"/>
      <c r="V93" s="5">
        <f t="shared" si="49"/>
        <v>1.1517550808384854E-3</v>
      </c>
      <c r="W93" s="1"/>
      <c r="X93" s="1">
        <f t="shared" si="50"/>
        <v>139.88999999999987</v>
      </c>
      <c r="Y93" s="1"/>
      <c r="Z93" s="5">
        <f t="shared" si="51"/>
        <v>3.9383445945945908E-2</v>
      </c>
    </row>
    <row r="94" spans="1:26" s="24" customFormat="1" hidden="1" outlineLevel="2" x14ac:dyDescent="0.3">
      <c r="A94" s="27"/>
      <c r="B94" s="11" t="str">
        <f>CONCATENATE("          ", "6351", " - ", "EQUIPMENT RENTAL")</f>
        <v xml:space="preserve">          6351 - EQUIPMENT RENTAL</v>
      </c>
      <c r="C94" s="11"/>
      <c r="D94" s="6">
        <v>2303.73</v>
      </c>
      <c r="E94" s="2"/>
      <c r="F94" s="7">
        <f t="shared" si="44"/>
        <v>1.5161508836177737E-3</v>
      </c>
      <c r="G94" s="2"/>
      <c r="H94" s="6">
        <v>1776</v>
      </c>
      <c r="I94" s="2"/>
      <c r="J94" s="7">
        <f t="shared" si="45"/>
        <v>6.4493731470762112E-4</v>
      </c>
      <c r="K94" s="2"/>
      <c r="L94" s="6">
        <f t="shared" si="46"/>
        <v>527.73</v>
      </c>
      <c r="M94" s="2"/>
      <c r="N94" s="7">
        <f t="shared" si="47"/>
        <v>0.29714527027027027</v>
      </c>
      <c r="O94" s="11"/>
      <c r="P94" s="6">
        <v>3691.89</v>
      </c>
      <c r="Q94" s="2"/>
      <c r="R94" s="7">
        <f t="shared" si="48"/>
        <v>2.1218273102840348E-3</v>
      </c>
      <c r="S94" s="2"/>
      <c r="T94" s="6">
        <v>3552</v>
      </c>
      <c r="U94" s="2"/>
      <c r="V94" s="7">
        <f t="shared" si="49"/>
        <v>1.1517550808384854E-3</v>
      </c>
      <c r="W94" s="2"/>
      <c r="X94" s="6">
        <f t="shared" si="50"/>
        <v>139.88999999999987</v>
      </c>
      <c r="Y94" s="2"/>
      <c r="Z94" s="7">
        <f t="shared" si="51"/>
        <v>3.9383445945945908E-2</v>
      </c>
    </row>
    <row r="95" spans="1:26" s="28" customFormat="1" outlineLevel="1" collapsed="1" x14ac:dyDescent="0.3">
      <c r="A95" s="29"/>
      <c r="B95" s="14" t="str">
        <f>CONCATENATE("     ","Freight out/Postage                               ")</f>
        <v xml:space="preserve">     Freight out/Postage                               </v>
      </c>
      <c r="C95" s="14"/>
      <c r="D95" s="1">
        <f>SUM(OSRRefD22_10x_0)</f>
        <v>-19372.54</v>
      </c>
      <c r="E95" s="1"/>
      <c r="F95" s="5">
        <f t="shared" si="44"/>
        <v>-1.2749625016352033E-2</v>
      </c>
      <c r="G95" s="1"/>
      <c r="H95" s="1">
        <f>SUM(OSRRefH22_10x_0)</f>
        <v>-42550</v>
      </c>
      <c r="I95" s="1"/>
      <c r="J95" s="5">
        <f t="shared" si="45"/>
        <v>-1.5451623164870091E-2</v>
      </c>
      <c r="K95" s="1"/>
      <c r="L95" s="1">
        <f t="shared" si="46"/>
        <v>23177.46</v>
      </c>
      <c r="M95" s="1"/>
      <c r="N95" s="5">
        <f t="shared" si="47"/>
        <v>-0.54471116333725023</v>
      </c>
      <c r="O95" s="14"/>
      <c r="P95" s="1">
        <f>SUM(OSRRefP22_10x_0)</f>
        <v>-15782.930000000002</v>
      </c>
      <c r="Q95" s="1"/>
      <c r="R95" s="5">
        <f t="shared" si="48"/>
        <v>-9.0708693678038105E-3</v>
      </c>
      <c r="S95" s="1"/>
      <c r="T95" s="1">
        <f>SUM(OSRRefT22_10x_0)</f>
        <v>-37100</v>
      </c>
      <c r="U95" s="1"/>
      <c r="V95" s="5">
        <f t="shared" si="49"/>
        <v>-1.2029874295919993E-2</v>
      </c>
      <c r="W95" s="1"/>
      <c r="X95" s="1">
        <f t="shared" si="50"/>
        <v>21317.07</v>
      </c>
      <c r="Y95" s="1"/>
      <c r="Z95" s="5">
        <f t="shared" si="51"/>
        <v>-0.57458409703504043</v>
      </c>
    </row>
    <row r="96" spans="1:26" s="24" customFormat="1" hidden="1" outlineLevel="2" x14ac:dyDescent="0.3">
      <c r="A96" s="27"/>
      <c r="B96" s="11" t="str">
        <f>CONCATENATE("          ", "6305", " - ", "FREIGHT OUT")</f>
        <v xml:space="preserve">          6305 - FREIGHT OUT</v>
      </c>
      <c r="C96" s="11"/>
      <c r="D96" s="6">
        <v>4399.6499999999996</v>
      </c>
      <c r="E96" s="2"/>
      <c r="F96" s="7">
        <f t="shared" si="44"/>
        <v>2.8955360372565093E-3</v>
      </c>
      <c r="G96" s="2"/>
      <c r="H96" s="6">
        <v>7350</v>
      </c>
      <c r="I96" s="2"/>
      <c r="J96" s="7">
        <f t="shared" si="45"/>
        <v>2.6690817922866076E-3</v>
      </c>
      <c r="K96" s="2"/>
      <c r="L96" s="6">
        <f t="shared" si="46"/>
        <v>-2950.3500000000004</v>
      </c>
      <c r="M96" s="2"/>
      <c r="N96" s="7">
        <f t="shared" si="47"/>
        <v>-0.40140816326530615</v>
      </c>
      <c r="O96" s="11"/>
      <c r="P96" s="6">
        <v>15289.15</v>
      </c>
      <c r="Q96" s="2"/>
      <c r="R96" s="7">
        <f t="shared" si="48"/>
        <v>8.7870808775530017E-3</v>
      </c>
      <c r="S96" s="2"/>
      <c r="T96" s="6">
        <v>16700</v>
      </c>
      <c r="U96" s="2"/>
      <c r="V96" s="7">
        <f t="shared" si="49"/>
        <v>5.4150647100232848E-3</v>
      </c>
      <c r="W96" s="2"/>
      <c r="X96" s="6">
        <f t="shared" si="50"/>
        <v>-1410.8500000000004</v>
      </c>
      <c r="Y96" s="2"/>
      <c r="Z96" s="7">
        <f t="shared" si="51"/>
        <v>-8.4482035928143739E-2</v>
      </c>
    </row>
    <row r="97" spans="1:26" s="24" customFormat="1" hidden="1" outlineLevel="2" x14ac:dyDescent="0.3">
      <c r="A97" s="27"/>
      <c r="B97" s="11" t="str">
        <f>CONCATENATE("          ", "6307", " - ", "POSTAGE")</f>
        <v xml:space="preserve">          6307 - POSTAGE</v>
      </c>
      <c r="C97" s="11"/>
      <c r="D97" s="6">
        <v>-23772.19</v>
      </c>
      <c r="E97" s="2"/>
      <c r="F97" s="7">
        <f t="shared" si="44"/>
        <v>-1.5645161053608539E-2</v>
      </c>
      <c r="G97" s="2"/>
      <c r="H97" s="6">
        <v>-49900</v>
      </c>
      <c r="I97" s="2"/>
      <c r="J97" s="7">
        <f t="shared" si="45"/>
        <v>-1.8120704957156699E-2</v>
      </c>
      <c r="K97" s="2"/>
      <c r="L97" s="6">
        <f t="shared" si="46"/>
        <v>26127.81</v>
      </c>
      <c r="M97" s="2"/>
      <c r="N97" s="7">
        <f t="shared" si="47"/>
        <v>-0.52360340681362727</v>
      </c>
      <c r="O97" s="11"/>
      <c r="P97" s="6">
        <v>-31072.080000000002</v>
      </c>
      <c r="Q97" s="2"/>
      <c r="R97" s="7">
        <f t="shared" si="48"/>
        <v>-1.7857950245356812E-2</v>
      </c>
      <c r="S97" s="2"/>
      <c r="T97" s="6">
        <v>-53800</v>
      </c>
      <c r="U97" s="2"/>
      <c r="V97" s="7">
        <f t="shared" si="49"/>
        <v>-1.7444939005943277E-2</v>
      </c>
      <c r="W97" s="2"/>
      <c r="X97" s="6">
        <f t="shared" si="50"/>
        <v>22727.919999999998</v>
      </c>
      <c r="Y97" s="2"/>
      <c r="Z97" s="7">
        <f t="shared" si="51"/>
        <v>-0.4224520446096654</v>
      </c>
    </row>
    <row r="98" spans="1:26" s="28" customFormat="1" outlineLevel="1" collapsed="1" x14ac:dyDescent="0.3">
      <c r="A98" s="29"/>
      <c r="B98" s="14" t="str">
        <f>CONCATENATE("     ","General                                           ")</f>
        <v xml:space="preserve">     General                                           </v>
      </c>
      <c r="C98" s="14"/>
      <c r="D98" s="1">
        <f>SUM(OSRRefD22_11x_0)</f>
        <v>2609.29</v>
      </c>
      <c r="E98" s="1"/>
      <c r="F98" s="5">
        <f t="shared" ref="F98:F100" si="52">IF(D$12=0,0,D98/D$12)</f>
        <v>1.7172486962947137E-3</v>
      </c>
      <c r="G98" s="1"/>
      <c r="H98" s="1">
        <f>SUM(OSRRefH22_11x_0)</f>
        <v>325</v>
      </c>
      <c r="I98" s="1"/>
      <c r="J98" s="5">
        <f t="shared" ref="J98:J100" si="53">IF(H$12=0,0,H98/H$12)</f>
        <v>1.1802062346845545E-4</v>
      </c>
      <c r="K98" s="1"/>
      <c r="L98" s="1">
        <f t="shared" ref="L98:L100" si="54">+D98-H98</f>
        <v>2284.29</v>
      </c>
      <c r="M98" s="1"/>
      <c r="N98" s="5">
        <f t="shared" ref="N98:N100" si="55">IF(H98=0,0,L98/H98)</f>
        <v>7.0285846153846157</v>
      </c>
      <c r="O98" s="14"/>
      <c r="P98" s="1">
        <f>SUM(OSRRefP22_11x_0)</f>
        <v>3387.29</v>
      </c>
      <c r="Q98" s="1"/>
      <c r="R98" s="5">
        <f t="shared" ref="R98:R100" si="56">IF(P$12=0,0,P98/P$12)</f>
        <v>1.9467655942761047E-3</v>
      </c>
      <c r="S98" s="1"/>
      <c r="T98" s="1">
        <f>SUM(OSRRefT22_11x_0)</f>
        <v>650</v>
      </c>
      <c r="U98" s="1"/>
      <c r="V98" s="5">
        <f t="shared" ref="V98:V100" si="57">IF(T$12=0,0,T98/T$12)</f>
        <v>2.1076599170749311E-4</v>
      </c>
      <c r="W98" s="1"/>
      <c r="X98" s="1">
        <f t="shared" ref="X98:X100" si="58">+P98-T98</f>
        <v>2737.29</v>
      </c>
      <c r="Y98" s="1"/>
      <c r="Z98" s="5">
        <f t="shared" ref="Z98:Z100" si="59">IF(T98=0,0,X98/T98)</f>
        <v>4.2112153846153841</v>
      </c>
    </row>
    <row r="99" spans="1:26" s="24" customFormat="1" hidden="1" outlineLevel="2" x14ac:dyDescent="0.3">
      <c r="A99" s="27"/>
      <c r="B99" s="11" t="str">
        <f>CONCATENATE("          ", "6276", " - ", "PROPERTY TAX")</f>
        <v xml:space="preserve">          6276 - PROPERTY TAX</v>
      </c>
      <c r="C99" s="11"/>
      <c r="D99" s="6"/>
      <c r="E99" s="2"/>
      <c r="F99" s="7">
        <f t="shared" si="52"/>
        <v>0</v>
      </c>
      <c r="G99" s="2"/>
      <c r="H99" s="6"/>
      <c r="I99" s="2"/>
      <c r="J99" s="7">
        <f t="shared" si="53"/>
        <v>0</v>
      </c>
      <c r="K99" s="2"/>
      <c r="L99" s="6">
        <f t="shared" si="54"/>
        <v>0</v>
      </c>
      <c r="M99" s="2"/>
      <c r="N99" s="7">
        <f t="shared" si="55"/>
        <v>0</v>
      </c>
      <c r="O99" s="11"/>
      <c r="P99" s="6"/>
      <c r="Q99" s="2"/>
      <c r="R99" s="7">
        <f t="shared" si="56"/>
        <v>0</v>
      </c>
      <c r="S99" s="2"/>
      <c r="T99" s="6">
        <v>125</v>
      </c>
      <c r="U99" s="2"/>
      <c r="V99" s="7">
        <f t="shared" si="57"/>
        <v>4.0531921482210214E-5</v>
      </c>
      <c r="W99" s="2"/>
      <c r="X99" s="6">
        <f t="shared" si="58"/>
        <v>-125</v>
      </c>
      <c r="Y99" s="2"/>
      <c r="Z99" s="7">
        <f t="shared" si="59"/>
        <v>-1</v>
      </c>
    </row>
    <row r="100" spans="1:26" s="24" customFormat="1" hidden="1" outlineLevel="2" x14ac:dyDescent="0.3">
      <c r="A100" s="27"/>
      <c r="B100" s="11" t="str">
        <f>CONCATENATE("          ", "6279", " - ", "GENERAL EXPENSE")</f>
        <v xml:space="preserve">          6279 - GENERAL EXPENSE</v>
      </c>
      <c r="C100" s="11"/>
      <c r="D100" s="6">
        <v>2609.29</v>
      </c>
      <c r="E100" s="2"/>
      <c r="F100" s="7">
        <f t="shared" si="52"/>
        <v>1.7172486962947137E-3</v>
      </c>
      <c r="G100" s="2"/>
      <c r="H100" s="6">
        <v>325</v>
      </c>
      <c r="I100" s="2"/>
      <c r="J100" s="7">
        <f t="shared" si="53"/>
        <v>1.1802062346845545E-4</v>
      </c>
      <c r="K100" s="2"/>
      <c r="L100" s="6">
        <f t="shared" si="54"/>
        <v>2284.29</v>
      </c>
      <c r="M100" s="2"/>
      <c r="N100" s="7">
        <f t="shared" si="55"/>
        <v>7.0285846153846157</v>
      </c>
      <c r="O100" s="11"/>
      <c r="P100" s="6">
        <v>3387.29</v>
      </c>
      <c r="Q100" s="2"/>
      <c r="R100" s="7">
        <f t="shared" si="56"/>
        <v>1.9467655942761047E-3</v>
      </c>
      <c r="S100" s="2"/>
      <c r="T100" s="6">
        <v>525</v>
      </c>
      <c r="U100" s="2"/>
      <c r="V100" s="7">
        <f t="shared" si="57"/>
        <v>1.702340702252829E-4</v>
      </c>
      <c r="W100" s="2"/>
      <c r="X100" s="6">
        <f t="shared" si="58"/>
        <v>2862.29</v>
      </c>
      <c r="Y100" s="2"/>
      <c r="Z100" s="7">
        <f t="shared" si="59"/>
        <v>5.4519809523809526</v>
      </c>
    </row>
    <row r="101" spans="1:26" s="28" customFormat="1" outlineLevel="1" collapsed="1" x14ac:dyDescent="0.3">
      <c r="A101" s="29"/>
      <c r="B101" s="14" t="str">
        <f>CONCATENATE("     ","Insurance                                         ")</f>
        <v xml:space="preserve">     Insurance                                         </v>
      </c>
      <c r="C101" s="14"/>
      <c r="D101" s="1">
        <f>SUM(OSRRefD22_12x_0)</f>
        <v>5825.58</v>
      </c>
      <c r="E101" s="1"/>
      <c r="F101" s="5">
        <f t="shared" ref="F101:F115" si="60">IF(D$12=0,0,D101/D$12)</f>
        <v>3.8339815276035084E-3</v>
      </c>
      <c r="G101" s="1"/>
      <c r="H101" s="1">
        <f>SUM(OSRRefH22_12x_0)</f>
        <v>5705</v>
      </c>
      <c r="I101" s="1"/>
      <c r="J101" s="5">
        <f t="shared" ref="J101:J115" si="61">IF(H$12=0,0,H101/H$12)</f>
        <v>2.0717158673462716E-3</v>
      </c>
      <c r="K101" s="1"/>
      <c r="L101" s="1">
        <f t="shared" ref="L101:L115" si="62">+D101-H101</f>
        <v>120.57999999999993</v>
      </c>
      <c r="M101" s="1"/>
      <c r="N101" s="5">
        <f t="shared" ref="N101:N115" si="63">IF(H101=0,0,L101/H101)</f>
        <v>2.1135845749342668E-2</v>
      </c>
      <c r="O101" s="14"/>
      <c r="P101" s="1">
        <f>SUM(OSRRefP22_12x_0)</f>
        <v>11651.16</v>
      </c>
      <c r="Q101" s="1"/>
      <c r="R101" s="5">
        <f t="shared" ref="R101:R115" si="64">IF(P$12=0,0,P101/P$12)</f>
        <v>6.696231329884947E-3</v>
      </c>
      <c r="S101" s="1"/>
      <c r="T101" s="1">
        <f>SUM(OSRRefT22_12x_0)</f>
        <v>11410</v>
      </c>
      <c r="U101" s="1"/>
      <c r="V101" s="5">
        <f t="shared" ref="V101:V115" si="65">IF(T$12=0,0,T101/T$12)</f>
        <v>3.6997537928961485E-3</v>
      </c>
      <c r="W101" s="1"/>
      <c r="X101" s="1">
        <f t="shared" ref="X101:X115" si="66">+P101-T101</f>
        <v>241.15999999999985</v>
      </c>
      <c r="Y101" s="1"/>
      <c r="Z101" s="5">
        <f t="shared" ref="Z101:Z115" si="67">IF(T101=0,0,X101/T101)</f>
        <v>2.1135845749342668E-2</v>
      </c>
    </row>
    <row r="102" spans="1:26" s="24" customFormat="1" hidden="1" outlineLevel="2" x14ac:dyDescent="0.3">
      <c r="A102" s="27"/>
      <c r="B102" s="11" t="str">
        <f>CONCATENATE("          ", "6314", " - ", "LIABILITY INSURANCE")</f>
        <v xml:space="preserve">          6314 - LIABILITY INSURANCE</v>
      </c>
      <c r="C102" s="11"/>
      <c r="D102" s="6">
        <v>5825.58</v>
      </c>
      <c r="E102" s="2"/>
      <c r="F102" s="7">
        <f t="shared" si="60"/>
        <v>3.8339815276035084E-3</v>
      </c>
      <c r="G102" s="2"/>
      <c r="H102" s="6">
        <v>5705</v>
      </c>
      <c r="I102" s="2"/>
      <c r="J102" s="7">
        <f t="shared" si="61"/>
        <v>2.0717158673462716E-3</v>
      </c>
      <c r="K102" s="2"/>
      <c r="L102" s="6">
        <f t="shared" si="62"/>
        <v>120.57999999999993</v>
      </c>
      <c r="M102" s="2"/>
      <c r="N102" s="7">
        <f t="shared" si="63"/>
        <v>2.1135845749342668E-2</v>
      </c>
      <c r="O102" s="11"/>
      <c r="P102" s="6">
        <v>11651.16</v>
      </c>
      <c r="Q102" s="2"/>
      <c r="R102" s="7">
        <f t="shared" si="64"/>
        <v>6.696231329884947E-3</v>
      </c>
      <c r="S102" s="2"/>
      <c r="T102" s="6">
        <v>11410</v>
      </c>
      <c r="U102" s="2"/>
      <c r="V102" s="7">
        <f t="shared" si="65"/>
        <v>3.6997537928961485E-3</v>
      </c>
      <c r="W102" s="2"/>
      <c r="X102" s="6">
        <f t="shared" si="66"/>
        <v>241.15999999999985</v>
      </c>
      <c r="Y102" s="2"/>
      <c r="Z102" s="7">
        <f t="shared" si="67"/>
        <v>2.1135845749342668E-2</v>
      </c>
    </row>
    <row r="103" spans="1:26" s="28" customFormat="1" outlineLevel="1" collapsed="1" x14ac:dyDescent="0.3">
      <c r="A103" s="29"/>
      <c r="B103" s="14" t="str">
        <f>CONCATENATE("     ","Interest                                          ")</f>
        <v xml:space="preserve">     Interest                                          </v>
      </c>
      <c r="C103" s="14"/>
      <c r="D103" s="1">
        <f>SUM(OSRRefD22_13x_0)</f>
        <v>3905</v>
      </c>
      <c r="E103" s="1"/>
      <c r="F103" s="5">
        <f t="shared" si="60"/>
        <v>2.5699926642998123E-3</v>
      </c>
      <c r="G103" s="1"/>
      <c r="H103" s="1">
        <f>SUM(OSRRefH22_13x_0)</f>
        <v>3905</v>
      </c>
      <c r="I103" s="1"/>
      <c r="J103" s="5">
        <f t="shared" si="61"/>
        <v>1.4180631835209801E-3</v>
      </c>
      <c r="K103" s="1"/>
      <c r="L103" s="1">
        <f t="shared" si="62"/>
        <v>0</v>
      </c>
      <c r="M103" s="1"/>
      <c r="N103" s="5">
        <f t="shared" si="63"/>
        <v>0</v>
      </c>
      <c r="O103" s="14"/>
      <c r="P103" s="1">
        <f>SUM(OSRRefP22_13x_0)</f>
        <v>7810</v>
      </c>
      <c r="Q103" s="1"/>
      <c r="R103" s="5">
        <f t="shared" si="64"/>
        <v>4.48861458313176E-3</v>
      </c>
      <c r="S103" s="1"/>
      <c r="T103" s="1">
        <f>SUM(OSRRefT22_13x_0)</f>
        <v>7810</v>
      </c>
      <c r="U103" s="1"/>
      <c r="V103" s="5">
        <f t="shared" si="65"/>
        <v>2.5324344542084942E-3</v>
      </c>
      <c r="W103" s="1"/>
      <c r="X103" s="1">
        <f t="shared" si="66"/>
        <v>0</v>
      </c>
      <c r="Y103" s="1"/>
      <c r="Z103" s="5">
        <f t="shared" si="67"/>
        <v>0</v>
      </c>
    </row>
    <row r="104" spans="1:26" s="24" customFormat="1" hidden="1" outlineLevel="2" x14ac:dyDescent="0.3">
      <c r="A104" s="27"/>
      <c r="B104" s="11" t="str">
        <f>CONCATENATE("          ", "6401", " - ", "INTEREST EXPENSE")</f>
        <v xml:space="preserve">          6401 - INTEREST EXPENSE</v>
      </c>
      <c r="C104" s="11"/>
      <c r="D104" s="6">
        <v>3905</v>
      </c>
      <c r="E104" s="2"/>
      <c r="F104" s="7">
        <f t="shared" si="60"/>
        <v>2.5699926642998123E-3</v>
      </c>
      <c r="G104" s="2"/>
      <c r="H104" s="6">
        <v>3905</v>
      </c>
      <c r="I104" s="2"/>
      <c r="J104" s="7">
        <f t="shared" si="61"/>
        <v>1.4180631835209801E-3</v>
      </c>
      <c r="K104" s="2"/>
      <c r="L104" s="6">
        <f t="shared" si="62"/>
        <v>0</v>
      </c>
      <c r="M104" s="2"/>
      <c r="N104" s="7">
        <f t="shared" si="63"/>
        <v>0</v>
      </c>
      <c r="O104" s="11"/>
      <c r="P104" s="6">
        <v>7810</v>
      </c>
      <c r="Q104" s="2"/>
      <c r="R104" s="7">
        <f t="shared" si="64"/>
        <v>4.48861458313176E-3</v>
      </c>
      <c r="S104" s="2"/>
      <c r="T104" s="6">
        <v>7810</v>
      </c>
      <c r="U104" s="2"/>
      <c r="V104" s="7">
        <f t="shared" si="65"/>
        <v>2.5324344542084942E-3</v>
      </c>
      <c r="W104" s="2"/>
      <c r="X104" s="6">
        <f t="shared" si="66"/>
        <v>0</v>
      </c>
      <c r="Y104" s="2"/>
      <c r="Z104" s="7">
        <f t="shared" si="67"/>
        <v>0</v>
      </c>
    </row>
    <row r="105" spans="1:26" s="28" customFormat="1" outlineLevel="1" collapsed="1" x14ac:dyDescent="0.3">
      <c r="A105" s="29"/>
      <c r="B105" s="14" t="str">
        <f>CONCATENATE("     ","Inventory Adjustment                              ")</f>
        <v xml:space="preserve">     Inventory Adjustment                              </v>
      </c>
      <c r="C105" s="14"/>
      <c r="D105" s="1">
        <f>SUM(OSRRefD22_14x_0)</f>
        <v>5100</v>
      </c>
      <c r="E105" s="1"/>
      <c r="F105" s="5">
        <f t="shared" si="60"/>
        <v>3.3564564885861826E-3</v>
      </c>
      <c r="G105" s="1"/>
      <c r="H105" s="1">
        <f>SUM(OSRRefH22_14x_0)</f>
        <v>5100</v>
      </c>
      <c r="I105" s="1"/>
      <c r="J105" s="5">
        <f t="shared" si="61"/>
        <v>1.8520159375049932E-3</v>
      </c>
      <c r="K105" s="1"/>
      <c r="L105" s="1">
        <f t="shared" si="62"/>
        <v>0</v>
      </c>
      <c r="M105" s="1"/>
      <c r="N105" s="5">
        <f t="shared" si="63"/>
        <v>0</v>
      </c>
      <c r="O105" s="14"/>
      <c r="P105" s="1">
        <f>SUM(OSRRefP22_14x_0)</f>
        <v>10200</v>
      </c>
      <c r="Q105" s="1"/>
      <c r="R105" s="5">
        <f t="shared" si="64"/>
        <v>5.8622111072911586E-3</v>
      </c>
      <c r="S105" s="1"/>
      <c r="T105" s="1">
        <f>SUM(OSRRefT22_14x_0)</f>
        <v>10200</v>
      </c>
      <c r="U105" s="1"/>
      <c r="V105" s="5">
        <f t="shared" si="65"/>
        <v>3.3074047929483536E-3</v>
      </c>
      <c r="W105" s="1"/>
      <c r="X105" s="1">
        <f t="shared" si="66"/>
        <v>0</v>
      </c>
      <c r="Y105" s="1"/>
      <c r="Z105" s="5">
        <f t="shared" si="67"/>
        <v>0</v>
      </c>
    </row>
    <row r="106" spans="1:26" s="24" customFormat="1" hidden="1" outlineLevel="2" x14ac:dyDescent="0.3">
      <c r="A106" s="27"/>
      <c r="B106" s="11" t="str">
        <f>CONCATENATE("          ", "6408", " - ", "INVENTORY ADJUSTMENT")</f>
        <v xml:space="preserve">          6408 - INVENTORY ADJUSTMENT</v>
      </c>
      <c r="C106" s="11"/>
      <c r="D106" s="6">
        <v>5100</v>
      </c>
      <c r="E106" s="2"/>
      <c r="F106" s="7">
        <f t="shared" si="60"/>
        <v>3.3564564885861826E-3</v>
      </c>
      <c r="G106" s="2"/>
      <c r="H106" s="6">
        <v>5100</v>
      </c>
      <c r="I106" s="2"/>
      <c r="J106" s="7">
        <f t="shared" si="61"/>
        <v>1.8520159375049932E-3</v>
      </c>
      <c r="K106" s="2"/>
      <c r="L106" s="6">
        <f t="shared" si="62"/>
        <v>0</v>
      </c>
      <c r="M106" s="2"/>
      <c r="N106" s="7">
        <f t="shared" si="63"/>
        <v>0</v>
      </c>
      <c r="O106" s="11"/>
      <c r="P106" s="6">
        <v>10200</v>
      </c>
      <c r="Q106" s="2"/>
      <c r="R106" s="7">
        <f t="shared" si="64"/>
        <v>5.8622111072911586E-3</v>
      </c>
      <c r="S106" s="2"/>
      <c r="T106" s="6">
        <v>10200</v>
      </c>
      <c r="U106" s="2"/>
      <c r="V106" s="7">
        <f t="shared" si="65"/>
        <v>3.3074047929483536E-3</v>
      </c>
      <c r="W106" s="2"/>
      <c r="X106" s="6">
        <f t="shared" si="66"/>
        <v>0</v>
      </c>
      <c r="Y106" s="2"/>
      <c r="Z106" s="7">
        <f t="shared" si="67"/>
        <v>0</v>
      </c>
    </row>
    <row r="107" spans="1:26" s="28" customFormat="1" outlineLevel="1" collapsed="1" x14ac:dyDescent="0.3">
      <c r="A107" s="29"/>
      <c r="B107" s="14" t="str">
        <f>CONCATENATE("     ","Professional Services                             ")</f>
        <v xml:space="preserve">     Professional Services                             </v>
      </c>
      <c r="C107" s="14"/>
      <c r="D107" s="1">
        <f>SUM(OSRRefD22_15x_0)</f>
        <v>0</v>
      </c>
      <c r="E107" s="1"/>
      <c r="F107" s="5">
        <f t="shared" si="60"/>
        <v>0</v>
      </c>
      <c r="G107" s="1"/>
      <c r="H107" s="1">
        <f>SUM(OSRRefH22_15x_0)</f>
        <v>0</v>
      </c>
      <c r="I107" s="1"/>
      <c r="J107" s="5">
        <f t="shared" si="61"/>
        <v>0</v>
      </c>
      <c r="K107" s="1"/>
      <c r="L107" s="1">
        <f t="shared" si="62"/>
        <v>0</v>
      </c>
      <c r="M107" s="1"/>
      <c r="N107" s="5">
        <f t="shared" si="63"/>
        <v>0</v>
      </c>
      <c r="O107" s="14"/>
      <c r="P107" s="1">
        <f>SUM(OSRRefP22_15x_0)</f>
        <v>0</v>
      </c>
      <c r="Q107" s="1"/>
      <c r="R107" s="5">
        <f t="shared" si="64"/>
        <v>0</v>
      </c>
      <c r="S107" s="1"/>
      <c r="T107" s="1">
        <f>SUM(OSRRefT22_15x_0)</f>
        <v>1000</v>
      </c>
      <c r="U107" s="1"/>
      <c r="V107" s="5">
        <f t="shared" si="65"/>
        <v>3.2425537185768171E-4</v>
      </c>
      <c r="W107" s="1"/>
      <c r="X107" s="1">
        <f t="shared" si="66"/>
        <v>-1000</v>
      </c>
      <c r="Y107" s="1"/>
      <c r="Z107" s="5">
        <f t="shared" si="67"/>
        <v>-1</v>
      </c>
    </row>
    <row r="108" spans="1:26" s="24" customFormat="1" hidden="1" outlineLevel="2" x14ac:dyDescent="0.3">
      <c r="A108" s="27"/>
      <c r="B108" s="11" t="str">
        <f>CONCATENATE("          ", "6336", " - ", "PROFESSIONAL SERVICES")</f>
        <v xml:space="preserve">          6336 - PROFESSIONAL SERVICES</v>
      </c>
      <c r="C108" s="11"/>
      <c r="D108" s="6"/>
      <c r="E108" s="2"/>
      <c r="F108" s="7">
        <f t="shared" si="60"/>
        <v>0</v>
      </c>
      <c r="G108" s="2"/>
      <c r="H108" s="6">
        <v>0</v>
      </c>
      <c r="I108" s="2"/>
      <c r="J108" s="7">
        <f t="shared" si="61"/>
        <v>0</v>
      </c>
      <c r="K108" s="2"/>
      <c r="L108" s="6">
        <f t="shared" si="62"/>
        <v>0</v>
      </c>
      <c r="M108" s="2"/>
      <c r="N108" s="7">
        <f t="shared" si="63"/>
        <v>0</v>
      </c>
      <c r="O108" s="11"/>
      <c r="P108" s="6"/>
      <c r="Q108" s="2"/>
      <c r="R108" s="7">
        <f t="shared" si="64"/>
        <v>0</v>
      </c>
      <c r="S108" s="2"/>
      <c r="T108" s="6">
        <v>1000</v>
      </c>
      <c r="U108" s="2"/>
      <c r="V108" s="7">
        <f t="shared" si="65"/>
        <v>3.2425537185768171E-4</v>
      </c>
      <c r="W108" s="2"/>
      <c r="X108" s="6">
        <f t="shared" si="66"/>
        <v>-1000</v>
      </c>
      <c r="Y108" s="2"/>
      <c r="Z108" s="7">
        <f t="shared" si="67"/>
        <v>-1</v>
      </c>
    </row>
    <row r="109" spans="1:26" s="28" customFormat="1" outlineLevel="1" collapsed="1" x14ac:dyDescent="0.3">
      <c r="A109" s="29"/>
      <c r="B109" s="14" t="str">
        <f>CONCATENATE("     ","Rent                                              ")</f>
        <v xml:space="preserve">     Rent                                              </v>
      </c>
      <c r="C109" s="14"/>
      <c r="D109" s="1">
        <f>SUM(OSRRefD22_16x_0)</f>
        <v>6100</v>
      </c>
      <c r="E109" s="1"/>
      <c r="F109" s="5">
        <f t="shared" si="60"/>
        <v>4.0145852118383752E-3</v>
      </c>
      <c r="G109" s="1"/>
      <c r="H109" s="1">
        <f>SUM(OSRRefH22_16x_0)</f>
        <v>6100</v>
      </c>
      <c r="I109" s="1"/>
      <c r="J109" s="5">
        <f t="shared" si="61"/>
        <v>2.2151563174079331E-3</v>
      </c>
      <c r="K109" s="1"/>
      <c r="L109" s="1">
        <f t="shared" si="62"/>
        <v>0</v>
      </c>
      <c r="M109" s="1"/>
      <c r="N109" s="5">
        <f t="shared" si="63"/>
        <v>0</v>
      </c>
      <c r="O109" s="14"/>
      <c r="P109" s="1">
        <f>SUM(OSRRefP22_16x_0)</f>
        <v>12200</v>
      </c>
      <c r="Q109" s="1"/>
      <c r="R109" s="5">
        <f t="shared" si="64"/>
        <v>7.0116642655835429E-3</v>
      </c>
      <c r="S109" s="1"/>
      <c r="T109" s="1">
        <f>SUM(OSRRefT22_16x_0)</f>
        <v>12200</v>
      </c>
      <c r="U109" s="1"/>
      <c r="V109" s="5">
        <f t="shared" si="65"/>
        <v>3.9559155366637169E-3</v>
      </c>
      <c r="W109" s="1"/>
      <c r="X109" s="1">
        <f t="shared" si="66"/>
        <v>0</v>
      </c>
      <c r="Y109" s="1"/>
      <c r="Z109" s="5">
        <f t="shared" si="67"/>
        <v>0</v>
      </c>
    </row>
    <row r="110" spans="1:26" s="24" customFormat="1" hidden="1" outlineLevel="2" x14ac:dyDescent="0.3">
      <c r="A110" s="27"/>
      <c r="B110" s="11" t="str">
        <f>CONCATENATE("          ", "6273", " - ", "RENT")</f>
        <v xml:space="preserve">          6273 - RENT</v>
      </c>
      <c r="C110" s="11"/>
      <c r="D110" s="6">
        <v>6100</v>
      </c>
      <c r="E110" s="2"/>
      <c r="F110" s="7">
        <f t="shared" si="60"/>
        <v>4.0145852118383752E-3</v>
      </c>
      <c r="G110" s="2"/>
      <c r="H110" s="6">
        <v>6100</v>
      </c>
      <c r="I110" s="2"/>
      <c r="J110" s="7">
        <f t="shared" si="61"/>
        <v>2.2151563174079331E-3</v>
      </c>
      <c r="K110" s="2"/>
      <c r="L110" s="6">
        <f t="shared" si="62"/>
        <v>0</v>
      </c>
      <c r="M110" s="2"/>
      <c r="N110" s="7">
        <f t="shared" si="63"/>
        <v>0</v>
      </c>
      <c r="O110" s="11"/>
      <c r="P110" s="6">
        <v>12200</v>
      </c>
      <c r="Q110" s="2"/>
      <c r="R110" s="7">
        <f t="shared" si="64"/>
        <v>7.0116642655835429E-3</v>
      </c>
      <c r="S110" s="2"/>
      <c r="T110" s="6">
        <v>12200</v>
      </c>
      <c r="U110" s="2"/>
      <c r="V110" s="7">
        <f t="shared" si="65"/>
        <v>3.9559155366637169E-3</v>
      </c>
      <c r="W110" s="2"/>
      <c r="X110" s="6">
        <f t="shared" si="66"/>
        <v>0</v>
      </c>
      <c r="Y110" s="2"/>
      <c r="Z110" s="7">
        <f t="shared" si="67"/>
        <v>0</v>
      </c>
    </row>
    <row r="111" spans="1:26" s="28" customFormat="1" outlineLevel="1" collapsed="1" x14ac:dyDescent="0.3">
      <c r="A111" s="29"/>
      <c r="B111" s="14" t="str">
        <f>CONCATENATE("     ","Repair and Maintenance                            ")</f>
        <v xml:space="preserve">     Repair and Maintenance                            </v>
      </c>
      <c r="C111" s="14"/>
      <c r="D111" s="1">
        <f>SUM(OSRRefD22_17x_0)</f>
        <v>9987.32</v>
      </c>
      <c r="E111" s="1"/>
      <c r="F111" s="5">
        <f t="shared" si="60"/>
        <v>6.5729421603110882E-3</v>
      </c>
      <c r="G111" s="1"/>
      <c r="H111" s="1">
        <f>SUM(OSRRefH22_17x_0)</f>
        <v>9921</v>
      </c>
      <c r="I111" s="1"/>
      <c r="J111" s="5">
        <f t="shared" si="61"/>
        <v>3.6027157090170662E-3</v>
      </c>
      <c r="K111" s="1"/>
      <c r="L111" s="1">
        <f t="shared" si="62"/>
        <v>66.319999999999709</v>
      </c>
      <c r="M111" s="1"/>
      <c r="N111" s="5">
        <f t="shared" si="63"/>
        <v>6.6848099989920079E-3</v>
      </c>
      <c r="O111" s="14"/>
      <c r="P111" s="1">
        <f>SUM(OSRRefP22_17x_0)</f>
        <v>74750.05</v>
      </c>
      <c r="Q111" s="1"/>
      <c r="R111" s="5">
        <f t="shared" si="64"/>
        <v>4.2960840527506816E-2</v>
      </c>
      <c r="S111" s="1"/>
      <c r="T111" s="1">
        <f>SUM(OSRRefT22_17x_0)</f>
        <v>58148</v>
      </c>
      <c r="U111" s="1"/>
      <c r="V111" s="5">
        <f t="shared" si="65"/>
        <v>1.8854801362780477E-2</v>
      </c>
      <c r="W111" s="1"/>
      <c r="X111" s="1">
        <f t="shared" si="66"/>
        <v>16602.050000000003</v>
      </c>
      <c r="Y111" s="1"/>
      <c r="Z111" s="5">
        <f t="shared" si="67"/>
        <v>0.28551368920685155</v>
      </c>
    </row>
    <row r="112" spans="1:26" s="24" customFormat="1" hidden="1" outlineLevel="2" x14ac:dyDescent="0.3">
      <c r="A112" s="27"/>
      <c r="B112" s="11" t="str">
        <f>CONCATENATE("          ", "6371", " - ", "COMPUTER SOFTWARE MAINTENANCE")</f>
        <v xml:space="preserve">          6371 - COMPUTER SOFTWARE MAINTENANCE</v>
      </c>
      <c r="C112" s="11"/>
      <c r="D112" s="6">
        <v>0</v>
      </c>
      <c r="E112" s="2"/>
      <c r="F112" s="7">
        <f t="shared" si="60"/>
        <v>0</v>
      </c>
      <c r="G112" s="2"/>
      <c r="H112" s="6">
        <v>1000</v>
      </c>
      <c r="I112" s="2"/>
      <c r="J112" s="7">
        <f t="shared" si="61"/>
        <v>3.6314037990293986E-4</v>
      </c>
      <c r="K112" s="2"/>
      <c r="L112" s="6">
        <f t="shared" si="62"/>
        <v>-1000</v>
      </c>
      <c r="M112" s="2"/>
      <c r="N112" s="7">
        <f t="shared" si="63"/>
        <v>-1</v>
      </c>
      <c r="O112" s="11"/>
      <c r="P112" s="6">
        <v>59623.5</v>
      </c>
      <c r="Q112" s="2"/>
      <c r="R112" s="7">
        <f t="shared" si="64"/>
        <v>3.4267210191722984E-2</v>
      </c>
      <c r="S112" s="2"/>
      <c r="T112" s="6">
        <v>41000</v>
      </c>
      <c r="U112" s="2"/>
      <c r="V112" s="7">
        <f t="shared" si="65"/>
        <v>1.329447024616495E-2</v>
      </c>
      <c r="W112" s="2"/>
      <c r="X112" s="6">
        <f t="shared" si="66"/>
        <v>18623.5</v>
      </c>
      <c r="Y112" s="2"/>
      <c r="Z112" s="7">
        <f t="shared" si="67"/>
        <v>0.45423170731707319</v>
      </c>
    </row>
    <row r="113" spans="1:26" s="24" customFormat="1" hidden="1" outlineLevel="2" x14ac:dyDescent="0.3">
      <c r="A113" s="27"/>
      <c r="B113" s="11" t="str">
        <f>CONCATENATE("          ", "6372", " - ", "COMPUTER HARDWARE MAINTENANCE")</f>
        <v xml:space="preserve">          6372 - COMPUTER HARDWARE MAINTENANCE</v>
      </c>
      <c r="C113" s="11"/>
      <c r="D113" s="6"/>
      <c r="E113" s="2"/>
      <c r="F113" s="7">
        <f t="shared" si="60"/>
        <v>0</v>
      </c>
      <c r="G113" s="2"/>
      <c r="H113" s="6">
        <v>3750</v>
      </c>
      <c r="I113" s="2"/>
      <c r="J113" s="7">
        <f t="shared" si="61"/>
        <v>1.3617764246360243E-3</v>
      </c>
      <c r="K113" s="2"/>
      <c r="L113" s="6">
        <f t="shared" si="62"/>
        <v>-3750</v>
      </c>
      <c r="M113" s="2"/>
      <c r="N113" s="7">
        <f t="shared" si="63"/>
        <v>-1</v>
      </c>
      <c r="O113" s="11"/>
      <c r="P113" s="6"/>
      <c r="Q113" s="2"/>
      <c r="R113" s="7">
        <f t="shared" si="64"/>
        <v>0</v>
      </c>
      <c r="S113" s="2"/>
      <c r="T113" s="6">
        <v>4120</v>
      </c>
      <c r="U113" s="2"/>
      <c r="V113" s="7">
        <f t="shared" si="65"/>
        <v>1.3359321320536488E-3</v>
      </c>
      <c r="W113" s="2"/>
      <c r="X113" s="6">
        <f t="shared" si="66"/>
        <v>-4120</v>
      </c>
      <c r="Y113" s="2"/>
      <c r="Z113" s="7">
        <f t="shared" si="67"/>
        <v>-1</v>
      </c>
    </row>
    <row r="114" spans="1:26" s="24" customFormat="1" hidden="1" outlineLevel="2" x14ac:dyDescent="0.3">
      <c r="A114" s="27"/>
      <c r="B114" s="11" t="str">
        <f>CONCATENATE("          ", "6373", " - ", "MAINTENANCE CONTRACTS")</f>
        <v xml:space="preserve">          6373 - MAINTENANCE CONTRACTS</v>
      </c>
      <c r="C114" s="11"/>
      <c r="D114" s="6">
        <v>6010.42</v>
      </c>
      <c r="E114" s="2"/>
      <c r="F114" s="7">
        <f t="shared" si="60"/>
        <v>3.9556300408094434E-3</v>
      </c>
      <c r="G114" s="2"/>
      <c r="H114" s="6">
        <v>4355</v>
      </c>
      <c r="I114" s="2"/>
      <c r="J114" s="7">
        <f t="shared" si="61"/>
        <v>1.581476354477303E-3</v>
      </c>
      <c r="K114" s="2"/>
      <c r="L114" s="6">
        <f t="shared" si="62"/>
        <v>1655.42</v>
      </c>
      <c r="M114" s="2"/>
      <c r="N114" s="7">
        <f t="shared" si="63"/>
        <v>0.38011940298507463</v>
      </c>
      <c r="O114" s="11"/>
      <c r="P114" s="6">
        <v>6665.05</v>
      </c>
      <c r="Q114" s="2"/>
      <c r="R114" s="7">
        <f t="shared" si="64"/>
        <v>3.8305813863383272E-3</v>
      </c>
      <c r="S114" s="2"/>
      <c r="T114" s="6">
        <v>11120</v>
      </c>
      <c r="U114" s="2"/>
      <c r="V114" s="7">
        <f t="shared" si="65"/>
        <v>3.6057197350574206E-3</v>
      </c>
      <c r="W114" s="2"/>
      <c r="X114" s="6">
        <f t="shared" si="66"/>
        <v>-4454.95</v>
      </c>
      <c r="Y114" s="2"/>
      <c r="Z114" s="7">
        <f t="shared" si="67"/>
        <v>-0.40062500000000001</v>
      </c>
    </row>
    <row r="115" spans="1:26" s="24" customFormat="1" hidden="1" outlineLevel="2" x14ac:dyDescent="0.3">
      <c r="A115" s="27"/>
      <c r="B115" s="11" t="str">
        <f>CONCATENATE("          ", "6375", " - ", "OUTSIDE REPAIRS &amp; MAINTENANCE")</f>
        <v xml:space="preserve">          6375 - OUTSIDE REPAIRS &amp; MAINTENANCE</v>
      </c>
      <c r="C115" s="11"/>
      <c r="D115" s="6">
        <v>3976.9</v>
      </c>
      <c r="E115" s="2"/>
      <c r="F115" s="7">
        <f t="shared" si="60"/>
        <v>2.6173121195016448E-3</v>
      </c>
      <c r="G115" s="2"/>
      <c r="H115" s="6">
        <v>816</v>
      </c>
      <c r="I115" s="2"/>
      <c r="J115" s="7">
        <f t="shared" si="61"/>
        <v>2.9632255000079893E-4</v>
      </c>
      <c r="K115" s="2"/>
      <c r="L115" s="6">
        <f t="shared" si="62"/>
        <v>3160.9</v>
      </c>
      <c r="M115" s="2"/>
      <c r="N115" s="7">
        <f t="shared" si="63"/>
        <v>3.8736519607843136</v>
      </c>
      <c r="O115" s="11"/>
      <c r="P115" s="6">
        <v>8461.5</v>
      </c>
      <c r="Q115" s="2"/>
      <c r="R115" s="7">
        <f t="shared" si="64"/>
        <v>4.863048949445504E-3</v>
      </c>
      <c r="S115" s="2"/>
      <c r="T115" s="6">
        <v>1908</v>
      </c>
      <c r="U115" s="2"/>
      <c r="V115" s="7">
        <f t="shared" si="65"/>
        <v>6.1867924950445672E-4</v>
      </c>
      <c r="W115" s="2"/>
      <c r="X115" s="6">
        <f t="shared" si="66"/>
        <v>6553.5</v>
      </c>
      <c r="Y115" s="2"/>
      <c r="Z115" s="7">
        <f t="shared" si="67"/>
        <v>3.4347484276729561</v>
      </c>
    </row>
    <row r="116" spans="1:26" s="28" customFormat="1" outlineLevel="1" collapsed="1" x14ac:dyDescent="0.3">
      <c r="A116" s="29"/>
      <c r="B116" s="14" t="str">
        <f>CONCATENATE("     ","Royalty &amp; Commissions                             ")</f>
        <v xml:space="preserve">     Royalty &amp; Commissions                             </v>
      </c>
      <c r="C116" s="14"/>
      <c r="D116" s="1">
        <f>SUM(OSRRefD22_18x_0)</f>
        <v>601.89</v>
      </c>
      <c r="E116" s="1"/>
      <c r="F116" s="5">
        <f t="shared" ref="F116:F120" si="68">IF(D$12=0,0,D116/D$12)</f>
        <v>3.9612109723826224E-4</v>
      </c>
      <c r="G116" s="1"/>
      <c r="H116" s="1">
        <f>SUM(OSRRefH22_18x_0)</f>
        <v>5485</v>
      </c>
      <c r="I116" s="1"/>
      <c r="J116" s="5">
        <f t="shared" ref="J116:J120" si="69">IF(H$12=0,0,H116/H$12)</f>
        <v>1.9918249837676252E-3</v>
      </c>
      <c r="K116" s="1"/>
      <c r="L116" s="1">
        <f t="shared" ref="L116:L120" si="70">+D116-H116</f>
        <v>-4883.1099999999997</v>
      </c>
      <c r="M116" s="1"/>
      <c r="N116" s="5">
        <f t="shared" ref="N116:N120" si="71">IF(H116=0,0,L116/H116)</f>
        <v>-0.89026618049225159</v>
      </c>
      <c r="O116" s="14"/>
      <c r="P116" s="1">
        <f>SUM(OSRRefP22_18x_0)</f>
        <v>7956.9900000000007</v>
      </c>
      <c r="Q116" s="1"/>
      <c r="R116" s="5">
        <f t="shared" ref="R116:R120" si="72">IF(P$12=0,0,P116/P$12)</f>
        <v>4.5730936430004587E-3</v>
      </c>
      <c r="S116" s="1"/>
      <c r="T116" s="1">
        <f>SUM(OSRRefT22_18x_0)</f>
        <v>17999</v>
      </c>
      <c r="U116" s="1"/>
      <c r="V116" s="5">
        <f t="shared" ref="V116:V120" si="73">IF(T$12=0,0,T116/T$12)</f>
        <v>5.836272438066413E-3</v>
      </c>
      <c r="W116" s="1"/>
      <c r="X116" s="1">
        <f t="shared" ref="X116:X120" si="74">+P116-T116</f>
        <v>-10042.009999999998</v>
      </c>
      <c r="Y116" s="1"/>
      <c r="Z116" s="5">
        <f t="shared" ref="Z116:Z120" si="75">IF(T116=0,0,X116/T116)</f>
        <v>-0.55792044002444574</v>
      </c>
    </row>
    <row r="117" spans="1:26" s="24" customFormat="1" hidden="1" outlineLevel="2" x14ac:dyDescent="0.3">
      <c r="A117" s="27"/>
      <c r="B117" s="11" t="str">
        <f>CONCATENATE("          ", "6252", " - ", "ROYALTY DUE CSTV")</f>
        <v xml:space="preserve">          6252 - ROYALTY DUE CSTV</v>
      </c>
      <c r="C117" s="11"/>
      <c r="D117" s="6"/>
      <c r="E117" s="2"/>
      <c r="F117" s="7">
        <f t="shared" si="68"/>
        <v>0</v>
      </c>
      <c r="G117" s="2"/>
      <c r="H117" s="6">
        <v>2080</v>
      </c>
      <c r="I117" s="2"/>
      <c r="J117" s="7">
        <f t="shared" si="69"/>
        <v>7.5533199019811484E-4</v>
      </c>
      <c r="K117" s="2"/>
      <c r="L117" s="6">
        <f t="shared" si="70"/>
        <v>-2080</v>
      </c>
      <c r="M117" s="2"/>
      <c r="N117" s="7">
        <f t="shared" si="71"/>
        <v>-1</v>
      </c>
      <c r="O117" s="11"/>
      <c r="P117" s="6"/>
      <c r="Q117" s="2"/>
      <c r="R117" s="7">
        <f t="shared" si="72"/>
        <v>0</v>
      </c>
      <c r="S117" s="2"/>
      <c r="T117" s="6">
        <v>2922</v>
      </c>
      <c r="U117" s="2"/>
      <c r="V117" s="7">
        <f t="shared" si="73"/>
        <v>9.47474196568146E-4</v>
      </c>
      <c r="W117" s="2"/>
      <c r="X117" s="6">
        <f t="shared" si="74"/>
        <v>-2922</v>
      </c>
      <c r="Y117" s="2"/>
      <c r="Z117" s="7">
        <f t="shared" si="75"/>
        <v>-1</v>
      </c>
    </row>
    <row r="118" spans="1:26" s="24" customFormat="1" hidden="1" outlineLevel="2" x14ac:dyDescent="0.3">
      <c r="A118" s="27"/>
      <c r="B118" s="11" t="str">
        <f>CONCATENATE("          ", "6253", " - ", "ROYALTY DUE ATHLETICS-LRG")</f>
        <v xml:space="preserve">          6253 - ROYALTY DUE ATHLETICS-LRG</v>
      </c>
      <c r="C118" s="11"/>
      <c r="D118" s="6"/>
      <c r="E118" s="2"/>
      <c r="F118" s="7">
        <f t="shared" si="68"/>
        <v>0</v>
      </c>
      <c r="G118" s="2"/>
      <c r="H118" s="6">
        <v>0</v>
      </c>
      <c r="I118" s="2"/>
      <c r="J118" s="7">
        <f t="shared" si="69"/>
        <v>0</v>
      </c>
      <c r="K118" s="2"/>
      <c r="L118" s="6">
        <f t="shared" si="70"/>
        <v>0</v>
      </c>
      <c r="M118" s="2"/>
      <c r="N118" s="7">
        <f t="shared" si="71"/>
        <v>0</v>
      </c>
      <c r="O118" s="11"/>
      <c r="P118" s="6">
        <v>14376.54</v>
      </c>
      <c r="Q118" s="2"/>
      <c r="R118" s="7">
        <f t="shared" si="72"/>
        <v>8.2625796541583967E-3</v>
      </c>
      <c r="S118" s="2"/>
      <c r="T118" s="6">
        <v>5672</v>
      </c>
      <c r="U118" s="2"/>
      <c r="V118" s="7">
        <f t="shared" si="73"/>
        <v>1.8391764691767707E-3</v>
      </c>
      <c r="W118" s="2"/>
      <c r="X118" s="6">
        <f t="shared" si="74"/>
        <v>8704.5400000000009</v>
      </c>
      <c r="Y118" s="2"/>
      <c r="Z118" s="7">
        <f t="shared" si="75"/>
        <v>1.5346509167842033</v>
      </c>
    </row>
    <row r="119" spans="1:26" s="24" customFormat="1" hidden="1" outlineLevel="2" x14ac:dyDescent="0.3">
      <c r="A119" s="27"/>
      <c r="B119" s="11" t="str">
        <f>CONCATENATE("          ", "6254", " - ", "ROYALTY &amp; COMMISSIONS")</f>
        <v xml:space="preserve">          6254 - ROYALTY &amp; COMMISSIONS</v>
      </c>
      <c r="C119" s="11"/>
      <c r="D119" s="6"/>
      <c r="E119" s="2"/>
      <c r="F119" s="7">
        <f t="shared" si="68"/>
        <v>0</v>
      </c>
      <c r="G119" s="2"/>
      <c r="H119" s="6">
        <v>0</v>
      </c>
      <c r="I119" s="2"/>
      <c r="J119" s="7">
        <f t="shared" si="69"/>
        <v>0</v>
      </c>
      <c r="K119" s="2"/>
      <c r="L119" s="6">
        <f t="shared" si="70"/>
        <v>0</v>
      </c>
      <c r="M119" s="2"/>
      <c r="N119" s="7">
        <f t="shared" si="71"/>
        <v>0</v>
      </c>
      <c r="O119" s="11"/>
      <c r="P119" s="6">
        <v>-7027.5</v>
      </c>
      <c r="Q119" s="2"/>
      <c r="R119" s="7">
        <f t="shared" si="72"/>
        <v>-4.0388910349498644E-3</v>
      </c>
      <c r="S119" s="2"/>
      <c r="T119" s="6">
        <v>0</v>
      </c>
      <c r="U119" s="2"/>
      <c r="V119" s="7">
        <f t="shared" si="73"/>
        <v>0</v>
      </c>
      <c r="W119" s="2"/>
      <c r="X119" s="6">
        <f t="shared" si="74"/>
        <v>-7027.5</v>
      </c>
      <c r="Y119" s="2"/>
      <c r="Z119" s="7">
        <f t="shared" si="75"/>
        <v>0</v>
      </c>
    </row>
    <row r="120" spans="1:26" s="24" customFormat="1" hidden="1" outlineLevel="2" x14ac:dyDescent="0.3">
      <c r="A120" s="27"/>
      <c r="B120" s="11" t="str">
        <f>CONCATENATE("          ", "6259", " - ", "ROYALTY &amp; COMMISSIONS")</f>
        <v xml:space="preserve">          6259 - ROYALTY &amp; COMMISSIONS</v>
      </c>
      <c r="C120" s="11"/>
      <c r="D120" s="6">
        <v>601.89</v>
      </c>
      <c r="E120" s="2"/>
      <c r="F120" s="7">
        <f t="shared" si="68"/>
        <v>3.9612109723826224E-4</v>
      </c>
      <c r="G120" s="2"/>
      <c r="H120" s="6">
        <v>3405</v>
      </c>
      <c r="I120" s="2"/>
      <c r="J120" s="7">
        <f t="shared" si="69"/>
        <v>1.2364929935695101E-3</v>
      </c>
      <c r="K120" s="2"/>
      <c r="L120" s="6">
        <f t="shared" si="70"/>
        <v>-2803.11</v>
      </c>
      <c r="M120" s="2"/>
      <c r="N120" s="7">
        <f t="shared" si="71"/>
        <v>-0.82323348017621145</v>
      </c>
      <c r="O120" s="11"/>
      <c r="P120" s="6">
        <v>607.95000000000005</v>
      </c>
      <c r="Q120" s="2"/>
      <c r="R120" s="7">
        <f t="shared" si="72"/>
        <v>3.4940502379192747E-4</v>
      </c>
      <c r="S120" s="2"/>
      <c r="T120" s="6">
        <v>9405</v>
      </c>
      <c r="U120" s="2"/>
      <c r="V120" s="7">
        <f t="shared" si="73"/>
        <v>3.0496217723214964E-3</v>
      </c>
      <c r="W120" s="2"/>
      <c r="X120" s="6">
        <f t="shared" si="74"/>
        <v>-8797.0499999999993</v>
      </c>
      <c r="Y120" s="2"/>
      <c r="Z120" s="7">
        <f t="shared" si="75"/>
        <v>-0.93535885167464106</v>
      </c>
    </row>
    <row r="121" spans="1:26" s="28" customFormat="1" outlineLevel="1" collapsed="1" x14ac:dyDescent="0.3">
      <c r="A121" s="29"/>
      <c r="B121" s="14" t="str">
        <f>CONCATENATE("     ","Services                                          ")</f>
        <v xml:space="preserve">     Services                                          </v>
      </c>
      <c r="C121" s="14"/>
      <c r="D121" s="1">
        <f>SUM(OSRRefD22_19x_0)</f>
        <v>20734.62</v>
      </c>
      <c r="E121" s="1"/>
      <c r="F121" s="5">
        <f t="shared" ref="F121:F125" si="76">IF(D$12=0,0,D121/D$12)</f>
        <v>1.3646048987719378E-2</v>
      </c>
      <c r="G121" s="1"/>
      <c r="H121" s="1">
        <f>SUM(OSRRefH22_19x_0)</f>
        <v>4661</v>
      </c>
      <c r="I121" s="1"/>
      <c r="J121" s="5">
        <f t="shared" ref="J121:J125" si="77">IF(H$12=0,0,H121/H$12)</f>
        <v>1.6925973107276026E-3</v>
      </c>
      <c r="K121" s="1"/>
      <c r="L121" s="1">
        <f t="shared" ref="L121:L125" si="78">+D121-H121</f>
        <v>16073.619999999999</v>
      </c>
      <c r="M121" s="1"/>
      <c r="N121" s="5">
        <f t="shared" ref="N121:N125" si="79">IF(H121=0,0,L121/H121)</f>
        <v>3.448534649216906</v>
      </c>
      <c r="O121" s="14"/>
      <c r="P121" s="1">
        <f>SUM(OSRRefP22_19x_0)</f>
        <v>24892.789999999997</v>
      </c>
      <c r="Q121" s="1"/>
      <c r="R121" s="5">
        <f t="shared" ref="R121:R125" si="80">IF(P$12=0,0,P121/P$12)</f>
        <v>1.4306548042104536E-2</v>
      </c>
      <c r="S121" s="1"/>
      <c r="T121" s="1">
        <f>SUM(OSRRefT22_19x_0)</f>
        <v>9021</v>
      </c>
      <c r="U121" s="1"/>
      <c r="V121" s="5">
        <f t="shared" ref="V121:V125" si="81">IF(T$12=0,0,T121/T$12)</f>
        <v>2.9251077095281469E-3</v>
      </c>
      <c r="W121" s="1"/>
      <c r="X121" s="1">
        <f t="shared" ref="X121:X125" si="82">+P121-T121</f>
        <v>15871.789999999997</v>
      </c>
      <c r="Y121" s="1"/>
      <c r="Z121" s="5">
        <f t="shared" ref="Z121:Z125" si="83">IF(T121=0,0,X121/T121)</f>
        <v>1.7594268928056753</v>
      </c>
    </row>
    <row r="122" spans="1:26" s="24" customFormat="1" hidden="1" outlineLevel="2" x14ac:dyDescent="0.3">
      <c r="A122" s="27"/>
      <c r="B122" s="11" t="str">
        <f>CONCATENATE("          ", "6282", " - ", "JANITORIAL/EXTERMINATOR EXPENS")</f>
        <v xml:space="preserve">          6282 - JANITORIAL/EXTERMINATOR EXPENS</v>
      </c>
      <c r="C122" s="11"/>
      <c r="D122" s="6">
        <v>611.25</v>
      </c>
      <c r="E122" s="2"/>
      <c r="F122" s="7">
        <f t="shared" si="76"/>
        <v>4.0228118208790275E-4</v>
      </c>
      <c r="G122" s="2"/>
      <c r="H122" s="6">
        <v>4558</v>
      </c>
      <c r="I122" s="2"/>
      <c r="J122" s="7">
        <f t="shared" si="77"/>
        <v>1.6551938515975998E-3</v>
      </c>
      <c r="K122" s="2"/>
      <c r="L122" s="6">
        <f t="shared" si="78"/>
        <v>-3946.75</v>
      </c>
      <c r="M122" s="2"/>
      <c r="N122" s="7">
        <f t="shared" si="79"/>
        <v>-0.86589512944273805</v>
      </c>
      <c r="O122" s="11"/>
      <c r="P122" s="6">
        <v>763.1</v>
      </c>
      <c r="Q122" s="2"/>
      <c r="R122" s="7">
        <f t="shared" si="80"/>
        <v>4.3857385254645915E-4</v>
      </c>
      <c r="S122" s="2"/>
      <c r="T122" s="6">
        <v>8858</v>
      </c>
      <c r="U122" s="2"/>
      <c r="V122" s="7">
        <f t="shared" si="81"/>
        <v>2.8722540839153446E-3</v>
      </c>
      <c r="W122" s="2"/>
      <c r="X122" s="6">
        <f t="shared" si="82"/>
        <v>-8094.9</v>
      </c>
      <c r="Y122" s="2"/>
      <c r="Z122" s="7">
        <f t="shared" si="83"/>
        <v>-0.91385188530142236</v>
      </c>
    </row>
    <row r="123" spans="1:26" s="24" customFormat="1" hidden="1" outlineLevel="2" x14ac:dyDescent="0.3">
      <c r="A123" s="27"/>
      <c r="B123" s="11" t="str">
        <f>CONCATENATE("          ", "6284", " - ", "TRASH REMOVAL EXPENSE")</f>
        <v xml:space="preserve">          6284 - TRASH REMOVAL EXPENSE</v>
      </c>
      <c r="C123" s="11"/>
      <c r="D123" s="6">
        <v>149.69999999999999</v>
      </c>
      <c r="E123" s="2"/>
      <c r="F123" s="7">
        <f t="shared" si="76"/>
        <v>9.8521869870853233E-5</v>
      </c>
      <c r="G123" s="2"/>
      <c r="H123" s="6">
        <v>60</v>
      </c>
      <c r="I123" s="2"/>
      <c r="J123" s="7">
        <f t="shared" si="77"/>
        <v>2.178842279417639E-5</v>
      </c>
      <c r="K123" s="2"/>
      <c r="L123" s="6">
        <f t="shared" si="78"/>
        <v>89.699999999999989</v>
      </c>
      <c r="M123" s="2"/>
      <c r="N123" s="7">
        <f t="shared" si="79"/>
        <v>1.4949999999999999</v>
      </c>
      <c r="O123" s="11"/>
      <c r="P123" s="6">
        <v>292.27</v>
      </c>
      <c r="Q123" s="2"/>
      <c r="R123" s="7">
        <f t="shared" si="80"/>
        <v>1.6797533728705753E-4</v>
      </c>
      <c r="S123" s="2"/>
      <c r="T123" s="6">
        <v>120</v>
      </c>
      <c r="U123" s="2"/>
      <c r="V123" s="7">
        <f t="shared" si="81"/>
        <v>3.8910644622921806E-5</v>
      </c>
      <c r="W123" s="2"/>
      <c r="X123" s="6">
        <f t="shared" si="82"/>
        <v>172.26999999999998</v>
      </c>
      <c r="Y123" s="2"/>
      <c r="Z123" s="7">
        <f t="shared" si="83"/>
        <v>1.4355833333333332</v>
      </c>
    </row>
    <row r="124" spans="1:26" s="24" customFormat="1" hidden="1" outlineLevel="2" x14ac:dyDescent="0.3">
      <c r="A124" s="27"/>
      <c r="B124" s="11" t="str">
        <f>CONCATENATE("          ", "6285", " - ", "JANITORIAL SERVICES")</f>
        <v xml:space="preserve">          6285 - JANITORIAL SERVICES</v>
      </c>
      <c r="C124" s="11"/>
      <c r="D124" s="6">
        <v>19921.73</v>
      </c>
      <c r="E124" s="2"/>
      <c r="F124" s="7">
        <f t="shared" si="76"/>
        <v>1.3111062729874903E-2</v>
      </c>
      <c r="G124" s="2"/>
      <c r="H124" s="6"/>
      <c r="I124" s="2"/>
      <c r="J124" s="7">
        <f t="shared" si="77"/>
        <v>0</v>
      </c>
      <c r="K124" s="2"/>
      <c r="L124" s="6">
        <f t="shared" si="78"/>
        <v>19921.73</v>
      </c>
      <c r="M124" s="2"/>
      <c r="N124" s="7">
        <f t="shared" si="79"/>
        <v>0</v>
      </c>
      <c r="O124" s="11"/>
      <c r="P124" s="6">
        <v>23785.48</v>
      </c>
      <c r="Q124" s="2"/>
      <c r="R124" s="7">
        <f t="shared" si="80"/>
        <v>1.3670147553750168E-2</v>
      </c>
      <c r="S124" s="2"/>
      <c r="T124" s="6"/>
      <c r="U124" s="2"/>
      <c r="V124" s="7">
        <f t="shared" si="81"/>
        <v>0</v>
      </c>
      <c r="W124" s="2"/>
      <c r="X124" s="6">
        <f t="shared" si="82"/>
        <v>23785.48</v>
      </c>
      <c r="Y124" s="2"/>
      <c r="Z124" s="7">
        <f t="shared" si="83"/>
        <v>0</v>
      </c>
    </row>
    <row r="125" spans="1:26" s="24" customFormat="1" hidden="1" outlineLevel="2" x14ac:dyDescent="0.3">
      <c r="A125" s="27"/>
      <c r="B125" s="11" t="str">
        <f>CONCATENATE("          ", "6286", " - ", "LAUNDRY EXPENSE")</f>
        <v xml:space="preserve">          6286 - LAUNDRY EXPENSE</v>
      </c>
      <c r="C125" s="11"/>
      <c r="D125" s="6">
        <v>51.94</v>
      </c>
      <c r="E125" s="2"/>
      <c r="F125" s="7">
        <f t="shared" si="76"/>
        <v>3.4183205885718882E-5</v>
      </c>
      <c r="G125" s="2"/>
      <c r="H125" s="6">
        <v>43</v>
      </c>
      <c r="I125" s="2"/>
      <c r="J125" s="7">
        <f t="shared" si="77"/>
        <v>1.5615036335826413E-5</v>
      </c>
      <c r="K125" s="2"/>
      <c r="L125" s="6">
        <f t="shared" si="78"/>
        <v>8.9399999999999977</v>
      </c>
      <c r="M125" s="2"/>
      <c r="N125" s="7">
        <f t="shared" si="79"/>
        <v>0.20790697674418598</v>
      </c>
      <c r="O125" s="11"/>
      <c r="P125" s="6">
        <v>51.94</v>
      </c>
      <c r="Q125" s="2"/>
      <c r="R125" s="7">
        <f t="shared" si="80"/>
        <v>2.9851298520853212E-5</v>
      </c>
      <c r="S125" s="2"/>
      <c r="T125" s="6">
        <v>43</v>
      </c>
      <c r="U125" s="2"/>
      <c r="V125" s="7">
        <f t="shared" si="81"/>
        <v>1.3942980989880314E-5</v>
      </c>
      <c r="W125" s="2"/>
      <c r="X125" s="6">
        <f t="shared" si="82"/>
        <v>8.9399999999999977</v>
      </c>
      <c r="Y125" s="2"/>
      <c r="Z125" s="7">
        <f t="shared" si="83"/>
        <v>0.20790697674418598</v>
      </c>
    </row>
    <row r="126" spans="1:26" s="28" customFormat="1" outlineLevel="1" collapsed="1" x14ac:dyDescent="0.3">
      <c r="A126" s="29"/>
      <c r="B126" s="14" t="str">
        <f>CONCATENATE("     ","Subscriptions &amp; Dues                              ")</f>
        <v xml:space="preserve">     Subscriptions &amp; Dues                              </v>
      </c>
      <c r="C126" s="14"/>
      <c r="D126" s="1">
        <f>SUM(OSRRefD22_20x_0)</f>
        <v>57</v>
      </c>
      <c r="E126" s="1"/>
      <c r="F126" s="5">
        <f t="shared" ref="F126:F128" si="84">IF(D$12=0,0,D126/D$12)</f>
        <v>3.7513337225374983E-5</v>
      </c>
      <c r="G126" s="1"/>
      <c r="H126" s="1">
        <f>SUM(OSRRefH22_20x_0)</f>
        <v>1361</v>
      </c>
      <c r="I126" s="1"/>
      <c r="J126" s="5">
        <f t="shared" ref="J126:J128" si="85">IF(H$12=0,0,H126/H$12)</f>
        <v>4.942340570479011E-4</v>
      </c>
      <c r="K126" s="1"/>
      <c r="L126" s="1">
        <f t="shared" ref="L126:L128" si="86">+D126-H126</f>
        <v>-1304</v>
      </c>
      <c r="M126" s="1"/>
      <c r="N126" s="5">
        <f t="shared" ref="N126:N128" si="87">IF(H126=0,0,L126/H126)</f>
        <v>-0.95811903012490818</v>
      </c>
      <c r="O126" s="14"/>
      <c r="P126" s="1">
        <f>SUM(OSRRefP22_20x_0)</f>
        <v>125.32</v>
      </c>
      <c r="Q126" s="1"/>
      <c r="R126" s="5">
        <f t="shared" ref="R126:R128" si="88">IF(P$12=0,0,P126/P$12)</f>
        <v>7.2024734898600782E-5</v>
      </c>
      <c r="S126" s="1"/>
      <c r="T126" s="1">
        <f>SUM(OSRRefT22_20x_0)</f>
        <v>3137</v>
      </c>
      <c r="U126" s="1"/>
      <c r="V126" s="5">
        <f t="shared" ref="V126:V128" si="89">IF(T$12=0,0,T126/T$12)</f>
        <v>1.0171891015175476E-3</v>
      </c>
      <c r="W126" s="1"/>
      <c r="X126" s="1">
        <f t="shared" ref="X126:X128" si="90">+P126-T126</f>
        <v>-3011.68</v>
      </c>
      <c r="Y126" s="1"/>
      <c r="Z126" s="5">
        <f t="shared" ref="Z126:Z128" si="91">IF(T126=0,0,X126/T126)</f>
        <v>-0.96005100414408662</v>
      </c>
    </row>
    <row r="127" spans="1:26" s="24" customFormat="1" hidden="1" outlineLevel="2" x14ac:dyDescent="0.3">
      <c r="A127" s="27"/>
      <c r="B127" s="11" t="str">
        <f>CONCATENATE("          ", "6258", " - ", "MEMBERSHIP DUES")</f>
        <v xml:space="preserve">          6258 - MEMBERSHIP DUES</v>
      </c>
      <c r="C127" s="11"/>
      <c r="D127" s="6">
        <v>57</v>
      </c>
      <c r="E127" s="2"/>
      <c r="F127" s="7">
        <f t="shared" si="84"/>
        <v>3.7513337225374983E-5</v>
      </c>
      <c r="G127" s="2"/>
      <c r="H127" s="6">
        <v>1300</v>
      </c>
      <c r="I127" s="2"/>
      <c r="J127" s="7">
        <f t="shared" si="85"/>
        <v>4.720824938738218E-4</v>
      </c>
      <c r="K127" s="2"/>
      <c r="L127" s="6">
        <f t="shared" si="86"/>
        <v>-1243</v>
      </c>
      <c r="M127" s="2"/>
      <c r="N127" s="7">
        <f t="shared" si="87"/>
        <v>-0.95615384615384613</v>
      </c>
      <c r="O127" s="11"/>
      <c r="P127" s="6">
        <v>125.32</v>
      </c>
      <c r="Q127" s="2"/>
      <c r="R127" s="7">
        <f t="shared" si="88"/>
        <v>7.2024734898600782E-5</v>
      </c>
      <c r="S127" s="2"/>
      <c r="T127" s="6">
        <v>2995</v>
      </c>
      <c r="U127" s="2"/>
      <c r="V127" s="7">
        <f t="shared" si="89"/>
        <v>9.7114483871375671E-4</v>
      </c>
      <c r="W127" s="2"/>
      <c r="X127" s="6">
        <f t="shared" si="90"/>
        <v>-2869.68</v>
      </c>
      <c r="Y127" s="2"/>
      <c r="Z127" s="7">
        <f t="shared" si="91"/>
        <v>-0.95815692821368947</v>
      </c>
    </row>
    <row r="128" spans="1:26" s="24" customFormat="1" hidden="1" outlineLevel="2" x14ac:dyDescent="0.3">
      <c r="A128" s="27"/>
      <c r="B128" s="11" t="str">
        <f>CONCATENATE("          ", "6275", " - ", "SUBSCRIPTIONS")</f>
        <v xml:space="preserve">          6275 - SUBSCRIPTIONS</v>
      </c>
      <c r="C128" s="11"/>
      <c r="D128" s="6"/>
      <c r="E128" s="2"/>
      <c r="F128" s="7">
        <f t="shared" si="84"/>
        <v>0</v>
      </c>
      <c r="G128" s="2"/>
      <c r="H128" s="6">
        <v>61</v>
      </c>
      <c r="I128" s="2"/>
      <c r="J128" s="7">
        <f t="shared" si="85"/>
        <v>2.215156317407933E-5</v>
      </c>
      <c r="K128" s="2"/>
      <c r="L128" s="6">
        <f t="shared" si="86"/>
        <v>-61</v>
      </c>
      <c r="M128" s="2"/>
      <c r="N128" s="7">
        <f t="shared" si="87"/>
        <v>-1</v>
      </c>
      <c r="O128" s="11"/>
      <c r="P128" s="6"/>
      <c r="Q128" s="2"/>
      <c r="R128" s="7">
        <f t="shared" si="88"/>
        <v>0</v>
      </c>
      <c r="S128" s="2"/>
      <c r="T128" s="6">
        <v>142</v>
      </c>
      <c r="U128" s="2"/>
      <c r="V128" s="7">
        <f t="shared" si="89"/>
        <v>4.6044262803790802E-5</v>
      </c>
      <c r="W128" s="2"/>
      <c r="X128" s="6">
        <f t="shared" si="90"/>
        <v>-142</v>
      </c>
      <c r="Y128" s="2"/>
      <c r="Z128" s="7">
        <f t="shared" si="91"/>
        <v>-1</v>
      </c>
    </row>
    <row r="129" spans="1:26" s="28" customFormat="1" outlineLevel="1" collapsed="1" x14ac:dyDescent="0.3">
      <c r="A129" s="29"/>
      <c r="B129" s="14" t="str">
        <f>CONCATENATE("     ","Supplies                                          ")</f>
        <v xml:space="preserve">     Supplies                                          </v>
      </c>
      <c r="C129" s="14"/>
      <c r="D129" s="1">
        <f>SUM(OSRRefD22_21x_0)</f>
        <v>15878.81</v>
      </c>
      <c r="E129" s="1"/>
      <c r="F129" s="5">
        <f t="shared" ref="F129:F136" si="92">IF(D$12=0,0,D129/D$12)</f>
        <v>1.0450300952064149E-2</v>
      </c>
      <c r="G129" s="1"/>
      <c r="H129" s="1">
        <f>SUM(OSRRefH22_21x_0)</f>
        <v>9760</v>
      </c>
      <c r="I129" s="1"/>
      <c r="J129" s="5">
        <f t="shared" ref="J129:J136" si="93">IF(H$12=0,0,H129/H$12)</f>
        <v>3.544250107852693E-3</v>
      </c>
      <c r="K129" s="1"/>
      <c r="L129" s="1">
        <f t="shared" ref="L129:L136" si="94">+D129-H129</f>
        <v>6118.8099999999995</v>
      </c>
      <c r="M129" s="1"/>
      <c r="N129" s="5">
        <f t="shared" ref="N129:N136" si="95">IF(H129=0,0,L129/H129)</f>
        <v>0.62692725409836059</v>
      </c>
      <c r="O129" s="14"/>
      <c r="P129" s="1">
        <f>SUM(OSRRefP22_21x_0)</f>
        <v>23077.409999999996</v>
      </c>
      <c r="Q129" s="1"/>
      <c r="R129" s="5">
        <f t="shared" ref="R129:R136" si="96">IF(P$12=0,0,P129/P$12)</f>
        <v>1.3263200904854121E-2</v>
      </c>
      <c r="S129" s="1"/>
      <c r="T129" s="1">
        <f>SUM(OSRRefT22_21x_0)</f>
        <v>20310</v>
      </c>
      <c r="U129" s="1"/>
      <c r="V129" s="5">
        <f t="shared" ref="V129:V136" si="97">IF(T$12=0,0,T129/T$12)</f>
        <v>6.5856266024295158E-3</v>
      </c>
      <c r="W129" s="1"/>
      <c r="X129" s="1">
        <f t="shared" ref="X129:X136" si="98">+P129-T129</f>
        <v>2767.4099999999962</v>
      </c>
      <c r="Y129" s="1"/>
      <c r="Z129" s="5">
        <f t="shared" ref="Z129:Z136" si="99">IF(T129=0,0,X129/T129)</f>
        <v>0.13625849335302787</v>
      </c>
    </row>
    <row r="130" spans="1:26" s="24" customFormat="1" hidden="1" outlineLevel="2" x14ac:dyDescent="0.3">
      <c r="A130" s="27"/>
      <c r="B130" s="11" t="str">
        <f>CONCATENATE("          ", "6234", " - ", "EXPENDABLE SUPPLIES &amp; EQUIPMEN")</f>
        <v xml:space="preserve">          6234 - EXPENDABLE SUPPLIES &amp; EQUIPMEN</v>
      </c>
      <c r="C130" s="11"/>
      <c r="D130" s="6"/>
      <c r="E130" s="2"/>
      <c r="F130" s="7">
        <f t="shared" si="92"/>
        <v>0</v>
      </c>
      <c r="G130" s="2"/>
      <c r="H130" s="6">
        <v>200</v>
      </c>
      <c r="I130" s="2"/>
      <c r="J130" s="7">
        <f t="shared" si="93"/>
        <v>7.2628075980587974E-5</v>
      </c>
      <c r="K130" s="2"/>
      <c r="L130" s="6">
        <f t="shared" si="94"/>
        <v>-200</v>
      </c>
      <c r="M130" s="2"/>
      <c r="N130" s="7">
        <f t="shared" si="95"/>
        <v>-1</v>
      </c>
      <c r="O130" s="11"/>
      <c r="P130" s="6"/>
      <c r="Q130" s="2"/>
      <c r="R130" s="7">
        <f t="shared" si="96"/>
        <v>0</v>
      </c>
      <c r="S130" s="2"/>
      <c r="T130" s="6">
        <v>200</v>
      </c>
      <c r="U130" s="2"/>
      <c r="V130" s="7">
        <f t="shared" si="97"/>
        <v>6.4851074371536347E-5</v>
      </c>
      <c r="W130" s="2"/>
      <c r="X130" s="6">
        <f t="shared" si="98"/>
        <v>-200</v>
      </c>
      <c r="Y130" s="2"/>
      <c r="Z130" s="7">
        <f t="shared" si="99"/>
        <v>-1</v>
      </c>
    </row>
    <row r="131" spans="1:26" s="24" customFormat="1" hidden="1" outlineLevel="2" x14ac:dyDescent="0.3">
      <c r="A131" s="27"/>
      <c r="B131" s="11" t="str">
        <f>CONCATENATE("          ", "6235", " - ", "COVID-19 EXPENSES")</f>
        <v xml:space="preserve">          6235 - COVID-19 EXPENSES</v>
      </c>
      <c r="C131" s="11"/>
      <c r="D131" s="6">
        <v>2695.61</v>
      </c>
      <c r="E131" s="2"/>
      <c r="F131" s="7">
        <f t="shared" si="92"/>
        <v>1.7740583676858432E-3</v>
      </c>
      <c r="G131" s="2"/>
      <c r="H131" s="6">
        <v>125</v>
      </c>
      <c r="I131" s="2"/>
      <c r="J131" s="7">
        <f t="shared" si="93"/>
        <v>4.5392547487867482E-5</v>
      </c>
      <c r="K131" s="2"/>
      <c r="L131" s="6">
        <f t="shared" si="94"/>
        <v>2570.61</v>
      </c>
      <c r="M131" s="2"/>
      <c r="N131" s="7">
        <f t="shared" si="95"/>
        <v>20.564880000000002</v>
      </c>
      <c r="O131" s="11"/>
      <c r="P131" s="6">
        <v>2967.83</v>
      </c>
      <c r="Q131" s="2"/>
      <c r="R131" s="7">
        <f t="shared" si="96"/>
        <v>1.7056907833874432E-3</v>
      </c>
      <c r="S131" s="2"/>
      <c r="T131" s="6">
        <v>250</v>
      </c>
      <c r="U131" s="2"/>
      <c r="V131" s="7">
        <f t="shared" si="97"/>
        <v>8.1063842964420427E-5</v>
      </c>
      <c r="W131" s="2"/>
      <c r="X131" s="6">
        <f t="shared" si="98"/>
        <v>2717.83</v>
      </c>
      <c r="Y131" s="2"/>
      <c r="Z131" s="7">
        <f t="shared" si="99"/>
        <v>10.871319999999999</v>
      </c>
    </row>
    <row r="132" spans="1:26" s="24" customFormat="1" hidden="1" outlineLevel="2" x14ac:dyDescent="0.3">
      <c r="A132" s="27"/>
      <c r="B132" s="11" t="str">
        <f>CONCATENATE("          ", "6237", " - ", "JANITORIAL SUPPLIES")</f>
        <v xml:space="preserve">          6237 - JANITORIAL SUPPLIES</v>
      </c>
      <c r="C132" s="11"/>
      <c r="D132" s="6">
        <v>1577.68</v>
      </c>
      <c r="E132" s="2"/>
      <c r="F132" s="7">
        <f t="shared" si="92"/>
        <v>1.0383165241005193E-3</v>
      </c>
      <c r="G132" s="2"/>
      <c r="H132" s="6">
        <v>60</v>
      </c>
      <c r="I132" s="2"/>
      <c r="J132" s="7">
        <f t="shared" si="93"/>
        <v>2.178842279417639E-5</v>
      </c>
      <c r="K132" s="2"/>
      <c r="L132" s="6">
        <f t="shared" si="94"/>
        <v>1517.68</v>
      </c>
      <c r="M132" s="2"/>
      <c r="N132" s="7">
        <f t="shared" si="95"/>
        <v>25.294666666666668</v>
      </c>
      <c r="O132" s="11"/>
      <c r="P132" s="6">
        <v>2233.65</v>
      </c>
      <c r="Q132" s="2"/>
      <c r="R132" s="7">
        <f t="shared" si="96"/>
        <v>1.2837380235098919E-3</v>
      </c>
      <c r="S132" s="2"/>
      <c r="T132" s="6">
        <v>110</v>
      </c>
      <c r="U132" s="2"/>
      <c r="V132" s="7">
        <f t="shared" si="97"/>
        <v>3.566809090434499E-5</v>
      </c>
      <c r="W132" s="2"/>
      <c r="X132" s="6">
        <f t="shared" si="98"/>
        <v>2123.65</v>
      </c>
      <c r="Y132" s="2"/>
      <c r="Z132" s="7">
        <f t="shared" si="99"/>
        <v>19.305909090909093</v>
      </c>
    </row>
    <row r="133" spans="1:26" s="24" customFormat="1" hidden="1" outlineLevel="2" x14ac:dyDescent="0.3">
      <c r="A133" s="27"/>
      <c r="B133" s="11" t="str">
        <f>CONCATENATE("          ", "6241", " - ", "OFFICE EXPENSE")</f>
        <v xml:space="preserve">          6241 - OFFICE EXPENSE</v>
      </c>
      <c r="C133" s="11"/>
      <c r="D133" s="6">
        <v>5376.83</v>
      </c>
      <c r="E133" s="2"/>
      <c r="F133" s="7">
        <f t="shared" si="92"/>
        <v>3.5386462630440868E-3</v>
      </c>
      <c r="G133" s="2"/>
      <c r="H133" s="6">
        <v>770</v>
      </c>
      <c r="I133" s="2"/>
      <c r="J133" s="7">
        <f t="shared" si="93"/>
        <v>2.7961809252526369E-4</v>
      </c>
      <c r="K133" s="2"/>
      <c r="L133" s="6">
        <f t="shared" si="94"/>
        <v>4606.83</v>
      </c>
      <c r="M133" s="2"/>
      <c r="N133" s="7">
        <f t="shared" si="95"/>
        <v>5.9828961038961035</v>
      </c>
      <c r="O133" s="11"/>
      <c r="P133" s="6">
        <v>5895.48</v>
      </c>
      <c r="Q133" s="2"/>
      <c r="R133" s="7">
        <f t="shared" si="96"/>
        <v>3.3882890528247919E-3</v>
      </c>
      <c r="S133" s="2"/>
      <c r="T133" s="6">
        <v>1240</v>
      </c>
      <c r="U133" s="2"/>
      <c r="V133" s="7">
        <f t="shared" si="97"/>
        <v>4.0207666110352535E-4</v>
      </c>
      <c r="W133" s="2"/>
      <c r="X133" s="6">
        <f t="shared" si="98"/>
        <v>4655.4799999999996</v>
      </c>
      <c r="Y133" s="2"/>
      <c r="Z133" s="7">
        <f t="shared" si="99"/>
        <v>3.7544193548387095</v>
      </c>
    </row>
    <row r="134" spans="1:26" s="24" customFormat="1" hidden="1" outlineLevel="2" x14ac:dyDescent="0.3">
      <c r="A134" s="27"/>
      <c r="B134" s="11" t="str">
        <f>CONCATENATE("          ", "6243", " - ", "PAPER SUPPLIES")</f>
        <v xml:space="preserve">          6243 - PAPER SUPPLIES</v>
      </c>
      <c r="C134" s="11"/>
      <c r="D134" s="6">
        <v>1801.68</v>
      </c>
      <c r="E134" s="2"/>
      <c r="F134" s="7">
        <f t="shared" si="92"/>
        <v>1.1857373581090104E-3</v>
      </c>
      <c r="G134" s="2"/>
      <c r="H134" s="6">
        <v>1100</v>
      </c>
      <c r="I134" s="2"/>
      <c r="J134" s="7">
        <f t="shared" si="93"/>
        <v>3.9945441789323384E-4</v>
      </c>
      <c r="K134" s="2"/>
      <c r="L134" s="6">
        <f t="shared" si="94"/>
        <v>701.68000000000006</v>
      </c>
      <c r="M134" s="2"/>
      <c r="N134" s="7">
        <f t="shared" si="95"/>
        <v>0.63789090909090918</v>
      </c>
      <c r="O134" s="11"/>
      <c r="P134" s="6">
        <v>3450.92</v>
      </c>
      <c r="Q134" s="2"/>
      <c r="R134" s="7">
        <f t="shared" si="96"/>
        <v>1.9833354465071773E-3</v>
      </c>
      <c r="S134" s="2"/>
      <c r="T134" s="6">
        <v>5300</v>
      </c>
      <c r="U134" s="2"/>
      <c r="V134" s="7">
        <f t="shared" si="97"/>
        <v>1.7185534708457132E-3</v>
      </c>
      <c r="W134" s="2"/>
      <c r="X134" s="6">
        <f t="shared" si="98"/>
        <v>-1849.08</v>
      </c>
      <c r="Y134" s="2"/>
      <c r="Z134" s="7">
        <f t="shared" si="99"/>
        <v>-0.3488830188679245</v>
      </c>
    </row>
    <row r="135" spans="1:26" s="24" customFormat="1" hidden="1" outlineLevel="2" x14ac:dyDescent="0.3">
      <c r="A135" s="27"/>
      <c r="B135" s="11" t="str">
        <f>CONCATENATE("          ", "6245", " - ", "PRINTING")</f>
        <v xml:space="preserve">          6245 - PRINTING</v>
      </c>
      <c r="C135" s="11"/>
      <c r="D135" s="6">
        <v>-851.82</v>
      </c>
      <c r="E135" s="2"/>
      <c r="F135" s="7">
        <f t="shared" si="92"/>
        <v>-5.6060720904068273E-4</v>
      </c>
      <c r="G135" s="2"/>
      <c r="H135" s="6">
        <v>30</v>
      </c>
      <c r="I135" s="2"/>
      <c r="J135" s="7">
        <f t="shared" si="93"/>
        <v>1.0894211397088195E-5</v>
      </c>
      <c r="K135" s="2"/>
      <c r="L135" s="6">
        <f t="shared" si="94"/>
        <v>-881.82</v>
      </c>
      <c r="M135" s="2"/>
      <c r="N135" s="7">
        <f t="shared" si="95"/>
        <v>-29.394000000000002</v>
      </c>
      <c r="O135" s="11"/>
      <c r="P135" s="6">
        <v>-600.17999999999995</v>
      </c>
      <c r="Q135" s="2"/>
      <c r="R135" s="7">
        <f t="shared" si="96"/>
        <v>-3.4493939827196152E-4</v>
      </c>
      <c r="S135" s="2"/>
      <c r="T135" s="6">
        <v>55</v>
      </c>
      <c r="U135" s="2"/>
      <c r="V135" s="7">
        <f t="shared" si="97"/>
        <v>1.7834045452172495E-5</v>
      </c>
      <c r="W135" s="2"/>
      <c r="X135" s="6">
        <f t="shared" si="98"/>
        <v>-655.17999999999995</v>
      </c>
      <c r="Y135" s="2"/>
      <c r="Z135" s="7">
        <f t="shared" si="99"/>
        <v>-11.912363636363635</v>
      </c>
    </row>
    <row r="136" spans="1:26" s="24" customFormat="1" hidden="1" outlineLevel="2" x14ac:dyDescent="0.3">
      <c r="A136" s="27"/>
      <c r="B136" s="11" t="str">
        <f>CONCATENATE("          ", "6247", " - ", "STORE SUPPLIES")</f>
        <v xml:space="preserve">          6247 - STORE SUPPLIES</v>
      </c>
      <c r="C136" s="11"/>
      <c r="D136" s="6">
        <v>5278.83</v>
      </c>
      <c r="E136" s="2"/>
      <c r="F136" s="7">
        <f t="shared" si="92"/>
        <v>3.4741496481653722E-3</v>
      </c>
      <c r="G136" s="2"/>
      <c r="H136" s="6">
        <v>7475</v>
      </c>
      <c r="I136" s="2"/>
      <c r="J136" s="7">
        <f t="shared" si="93"/>
        <v>2.7144743397744752E-3</v>
      </c>
      <c r="K136" s="2"/>
      <c r="L136" s="6">
        <f t="shared" si="94"/>
        <v>-2196.17</v>
      </c>
      <c r="M136" s="2"/>
      <c r="N136" s="7">
        <f t="shared" si="95"/>
        <v>-0.29380200668896322</v>
      </c>
      <c r="O136" s="11"/>
      <c r="P136" s="6">
        <v>9129.7099999999991</v>
      </c>
      <c r="Q136" s="2"/>
      <c r="R136" s="7">
        <f t="shared" si="96"/>
        <v>5.2470869968967802E-3</v>
      </c>
      <c r="S136" s="2"/>
      <c r="T136" s="6">
        <v>13155</v>
      </c>
      <c r="U136" s="2"/>
      <c r="V136" s="7">
        <f t="shared" si="97"/>
        <v>4.2655794167878033E-3</v>
      </c>
      <c r="W136" s="2"/>
      <c r="X136" s="6">
        <f t="shared" si="98"/>
        <v>-4025.2900000000009</v>
      </c>
      <c r="Y136" s="2"/>
      <c r="Z136" s="7">
        <f t="shared" si="99"/>
        <v>-0.30598935765868496</v>
      </c>
    </row>
    <row r="137" spans="1:26" s="28" customFormat="1" outlineLevel="1" collapsed="1" x14ac:dyDescent="0.3">
      <c r="A137" s="29"/>
      <c r="B137" s="14" t="str">
        <f>CONCATENATE("     ","Telephone/Data Lines                              ")</f>
        <v xml:space="preserve">     Telephone/Data Lines                              </v>
      </c>
      <c r="C137" s="14"/>
      <c r="D137" s="1">
        <f>SUM(OSRRefD22_22x_0)</f>
        <v>2274.39</v>
      </c>
      <c r="E137" s="1"/>
      <c r="F137" s="5">
        <f t="shared" ref="F137:F139" si="100">IF(D$12=0,0,D137/D$12)</f>
        <v>1.4968413868775544E-3</v>
      </c>
      <c r="G137" s="1"/>
      <c r="H137" s="1">
        <f>SUM(OSRRefH22_22x_0)</f>
        <v>2163</v>
      </c>
      <c r="I137" s="1"/>
      <c r="J137" s="5">
        <f t="shared" ref="J137:J139" si="101">IF(H$12=0,0,H137/H$12)</f>
        <v>7.8547264173005891E-4</v>
      </c>
      <c r="K137" s="1"/>
      <c r="L137" s="1">
        <f t="shared" ref="L137:L139" si="102">+D137-H137</f>
        <v>111.38999999999987</v>
      </c>
      <c r="M137" s="1"/>
      <c r="N137" s="5">
        <f t="shared" ref="N137:N139" si="103">IF(H137=0,0,L137/H137)</f>
        <v>5.1497919556171924E-2</v>
      </c>
      <c r="O137" s="14"/>
      <c r="P137" s="1">
        <f>SUM(OSRRefP22_22x_0)</f>
        <v>3961.63</v>
      </c>
      <c r="Q137" s="1"/>
      <c r="R137" s="5">
        <f t="shared" ref="R137:R139" si="104">IF(P$12=0,0,P137/P$12)</f>
        <v>2.276854057742929E-3</v>
      </c>
      <c r="S137" s="1"/>
      <c r="T137" s="1">
        <f>SUM(OSRRefT22_22x_0)</f>
        <v>4076</v>
      </c>
      <c r="U137" s="1"/>
      <c r="V137" s="5">
        <f t="shared" ref="V137:V139" si="105">IF(T$12=0,0,T137/T$12)</f>
        <v>1.3216648956919108E-3</v>
      </c>
      <c r="W137" s="1"/>
      <c r="X137" s="1">
        <f t="shared" ref="X137:X139" si="106">+P137-T137</f>
        <v>-114.36999999999989</v>
      </c>
      <c r="Y137" s="1"/>
      <c r="Z137" s="5">
        <f t="shared" ref="Z137:Z139" si="107">IF(T137=0,0,X137/T137)</f>
        <v>-2.8059371933267883E-2</v>
      </c>
    </row>
    <row r="138" spans="1:26" s="24" customFormat="1" hidden="1" outlineLevel="2" x14ac:dyDescent="0.3">
      <c r="A138" s="27"/>
      <c r="B138" s="11" t="str">
        <f>CONCATENATE("          ", "6303", " - ", "DATA PHONE LINES")</f>
        <v xml:space="preserve">          6303 - DATA PHONE LINES</v>
      </c>
      <c r="C138" s="11"/>
      <c r="D138" s="6"/>
      <c r="E138" s="2"/>
      <c r="F138" s="7">
        <f t="shared" si="100"/>
        <v>0</v>
      </c>
      <c r="G138" s="2"/>
      <c r="H138" s="6">
        <v>50</v>
      </c>
      <c r="I138" s="2"/>
      <c r="J138" s="7">
        <f t="shared" si="101"/>
        <v>1.8157018995146994E-5</v>
      </c>
      <c r="K138" s="2"/>
      <c r="L138" s="6">
        <f t="shared" si="102"/>
        <v>-50</v>
      </c>
      <c r="M138" s="2"/>
      <c r="N138" s="7">
        <f t="shared" si="103"/>
        <v>-1</v>
      </c>
      <c r="O138" s="11"/>
      <c r="P138" s="6">
        <v>295</v>
      </c>
      <c r="Q138" s="2"/>
      <c r="R138" s="7">
        <f t="shared" si="104"/>
        <v>1.6954434084812665E-4</v>
      </c>
      <c r="S138" s="2"/>
      <c r="T138" s="6">
        <v>100</v>
      </c>
      <c r="U138" s="2"/>
      <c r="V138" s="7">
        <f t="shared" si="105"/>
        <v>3.2425537185768174E-5</v>
      </c>
      <c r="W138" s="2"/>
      <c r="X138" s="6">
        <f t="shared" si="106"/>
        <v>195</v>
      </c>
      <c r="Y138" s="2"/>
      <c r="Z138" s="7">
        <f t="shared" si="107"/>
        <v>1.95</v>
      </c>
    </row>
    <row r="139" spans="1:26" s="24" customFormat="1" hidden="1" outlineLevel="2" x14ac:dyDescent="0.3">
      <c r="A139" s="27"/>
      <c r="B139" s="11" t="str">
        <f>CONCATENATE("          ", "6309", " - ", "TELEPHONE")</f>
        <v xml:space="preserve">          6309 - TELEPHONE</v>
      </c>
      <c r="C139" s="11"/>
      <c r="D139" s="6">
        <v>2274.39</v>
      </c>
      <c r="E139" s="2"/>
      <c r="F139" s="7">
        <f t="shared" si="100"/>
        <v>1.4968413868775544E-3</v>
      </c>
      <c r="G139" s="2"/>
      <c r="H139" s="6">
        <v>2113</v>
      </c>
      <c r="I139" s="2"/>
      <c r="J139" s="7">
        <f t="shared" si="101"/>
        <v>7.6731562273491189E-4</v>
      </c>
      <c r="K139" s="2"/>
      <c r="L139" s="6">
        <f t="shared" si="102"/>
        <v>161.38999999999987</v>
      </c>
      <c r="M139" s="2"/>
      <c r="N139" s="7">
        <f t="shared" si="103"/>
        <v>7.6379555134879262E-2</v>
      </c>
      <c r="O139" s="11"/>
      <c r="P139" s="6">
        <v>3666.63</v>
      </c>
      <c r="Q139" s="2"/>
      <c r="R139" s="7">
        <f t="shared" si="104"/>
        <v>2.1073097168948021E-3</v>
      </c>
      <c r="S139" s="2"/>
      <c r="T139" s="6">
        <v>3976</v>
      </c>
      <c r="U139" s="2"/>
      <c r="V139" s="7">
        <f t="shared" si="105"/>
        <v>1.2892393585061425E-3</v>
      </c>
      <c r="W139" s="2"/>
      <c r="X139" s="6">
        <f t="shared" si="106"/>
        <v>-309.36999999999989</v>
      </c>
      <c r="Y139" s="2"/>
      <c r="Z139" s="7">
        <f t="shared" si="107"/>
        <v>-7.7809356136820898E-2</v>
      </c>
    </row>
    <row r="140" spans="1:26" s="28" customFormat="1" outlineLevel="1" collapsed="1" x14ac:dyDescent="0.3">
      <c r="A140" s="29"/>
      <c r="B140" s="14" t="str">
        <f>CONCATENATE("     ","Training                                          ")</f>
        <v xml:space="preserve">     Training                                          </v>
      </c>
      <c r="C140" s="14"/>
      <c r="D140" s="1">
        <f>SUM(OSRRefD22_23x_0)</f>
        <v>0</v>
      </c>
      <c r="E140" s="1"/>
      <c r="F140" s="5">
        <f t="shared" ref="F140:F145" si="108">IF(D$12=0,0,D140/D$12)</f>
        <v>0</v>
      </c>
      <c r="G140" s="1"/>
      <c r="H140" s="1">
        <f>SUM(OSRRefH22_23x_0)</f>
        <v>75</v>
      </c>
      <c r="I140" s="1"/>
      <c r="J140" s="5">
        <f t="shared" ref="J140:J145" si="109">IF(H$12=0,0,H140/H$12)</f>
        <v>2.7235528492720489E-5</v>
      </c>
      <c r="K140" s="1"/>
      <c r="L140" s="1">
        <f t="shared" ref="L140:L145" si="110">+D140-H140</f>
        <v>-75</v>
      </c>
      <c r="M140" s="1"/>
      <c r="N140" s="5">
        <f t="shared" ref="N140:N145" si="111">IF(H140=0,0,L140/H140)</f>
        <v>-1</v>
      </c>
      <c r="O140" s="14"/>
      <c r="P140" s="1">
        <f>SUM(OSRRefP22_23x_0)</f>
        <v>0</v>
      </c>
      <c r="Q140" s="1"/>
      <c r="R140" s="5">
        <f t="shared" ref="R140:R145" si="112">IF(P$12=0,0,P140/P$12)</f>
        <v>0</v>
      </c>
      <c r="S140" s="1"/>
      <c r="T140" s="1">
        <f>SUM(OSRRefT22_23x_0)</f>
        <v>75</v>
      </c>
      <c r="U140" s="1"/>
      <c r="V140" s="5">
        <f t="shared" ref="V140:V145" si="113">IF(T$12=0,0,T140/T$12)</f>
        <v>2.431915288932613E-5</v>
      </c>
      <c r="W140" s="1"/>
      <c r="X140" s="1">
        <f t="shared" ref="X140:X145" si="114">+P140-T140</f>
        <v>-75</v>
      </c>
      <c r="Y140" s="1"/>
      <c r="Z140" s="5">
        <f t="shared" ref="Z140:Z145" si="115">IF(T140=0,0,X140/T140)</f>
        <v>-1</v>
      </c>
    </row>
    <row r="141" spans="1:26" s="24" customFormat="1" hidden="1" outlineLevel="2" x14ac:dyDescent="0.3">
      <c r="A141" s="27"/>
      <c r="B141" s="11" t="str">
        <f>CONCATENATE("          ", "6376", " - ", "TRAINING")</f>
        <v xml:space="preserve">          6376 - TRAINING</v>
      </c>
      <c r="C141" s="11"/>
      <c r="D141" s="6"/>
      <c r="E141" s="2"/>
      <c r="F141" s="7">
        <f t="shared" si="108"/>
        <v>0</v>
      </c>
      <c r="G141" s="2"/>
      <c r="H141" s="6">
        <v>75</v>
      </c>
      <c r="I141" s="2"/>
      <c r="J141" s="7">
        <f t="shared" si="109"/>
        <v>2.7235528492720489E-5</v>
      </c>
      <c r="K141" s="2"/>
      <c r="L141" s="6">
        <f t="shared" si="110"/>
        <v>-75</v>
      </c>
      <c r="M141" s="2"/>
      <c r="N141" s="7">
        <f t="shared" si="111"/>
        <v>-1</v>
      </c>
      <c r="O141" s="11"/>
      <c r="P141" s="6"/>
      <c r="Q141" s="2"/>
      <c r="R141" s="7">
        <f t="shared" si="112"/>
        <v>0</v>
      </c>
      <c r="S141" s="2"/>
      <c r="T141" s="6">
        <v>75</v>
      </c>
      <c r="U141" s="2"/>
      <c r="V141" s="7">
        <f t="shared" si="113"/>
        <v>2.431915288932613E-5</v>
      </c>
      <c r="W141" s="2"/>
      <c r="X141" s="6">
        <f t="shared" si="114"/>
        <v>-75</v>
      </c>
      <c r="Y141" s="2"/>
      <c r="Z141" s="7">
        <f t="shared" si="115"/>
        <v>-1</v>
      </c>
    </row>
    <row r="142" spans="1:26" s="28" customFormat="1" outlineLevel="1" collapsed="1" x14ac:dyDescent="0.3">
      <c r="A142" s="29"/>
      <c r="B142" s="14" t="str">
        <f>CONCATENATE("     ","Travel                                            ")</f>
        <v xml:space="preserve">     Travel                                            </v>
      </c>
      <c r="C142" s="14"/>
      <c r="D142" s="1">
        <f>SUM(OSRRefD22_24x_0)</f>
        <v>0</v>
      </c>
      <c r="E142" s="1"/>
      <c r="F142" s="5">
        <f t="shared" si="108"/>
        <v>0</v>
      </c>
      <c r="G142" s="1"/>
      <c r="H142" s="1">
        <f>SUM(OSRRefH22_24x_0)</f>
        <v>175</v>
      </c>
      <c r="I142" s="1"/>
      <c r="J142" s="5">
        <f t="shared" si="109"/>
        <v>6.3549566483014466E-5</v>
      </c>
      <c r="K142" s="1"/>
      <c r="L142" s="1">
        <f t="shared" si="110"/>
        <v>-175</v>
      </c>
      <c r="M142" s="1"/>
      <c r="N142" s="5">
        <f t="shared" si="111"/>
        <v>-1</v>
      </c>
      <c r="O142" s="14"/>
      <c r="P142" s="1">
        <f>SUM(OSRRefP22_24x_0)</f>
        <v>683.14</v>
      </c>
      <c r="Q142" s="1"/>
      <c r="R142" s="5">
        <f t="shared" si="112"/>
        <v>3.9261871527792962E-4</v>
      </c>
      <c r="S142" s="1"/>
      <c r="T142" s="1">
        <f>SUM(OSRRefT22_24x_0)</f>
        <v>350</v>
      </c>
      <c r="U142" s="1"/>
      <c r="V142" s="5">
        <f t="shared" si="113"/>
        <v>1.134893801501886E-4</v>
      </c>
      <c r="W142" s="1"/>
      <c r="X142" s="1">
        <f t="shared" si="114"/>
        <v>333.14</v>
      </c>
      <c r="Y142" s="1"/>
      <c r="Z142" s="5">
        <f t="shared" si="115"/>
        <v>0.95182857142857136</v>
      </c>
    </row>
    <row r="143" spans="1:26" s="24" customFormat="1" hidden="1" outlineLevel="2" x14ac:dyDescent="0.3">
      <c r="A143" s="27"/>
      <c r="B143" s="11" t="str">
        <f>CONCATENATE("          ", "6292", " - ", "TRAVEL/CONFERENCE")</f>
        <v xml:space="preserve">          6292 - TRAVEL/CONFERENCE</v>
      </c>
      <c r="C143" s="11"/>
      <c r="D143" s="6"/>
      <c r="E143" s="2"/>
      <c r="F143" s="7">
        <f t="shared" si="108"/>
        <v>0</v>
      </c>
      <c r="G143" s="2"/>
      <c r="H143" s="6">
        <v>125</v>
      </c>
      <c r="I143" s="2"/>
      <c r="J143" s="7">
        <f t="shared" si="109"/>
        <v>4.5392547487867482E-5</v>
      </c>
      <c r="K143" s="2"/>
      <c r="L143" s="6">
        <f t="shared" si="110"/>
        <v>-125</v>
      </c>
      <c r="M143" s="2"/>
      <c r="N143" s="7">
        <f t="shared" si="111"/>
        <v>-1</v>
      </c>
      <c r="O143" s="11"/>
      <c r="P143" s="6">
        <v>495</v>
      </c>
      <c r="Q143" s="2"/>
      <c r="R143" s="7">
        <f t="shared" si="112"/>
        <v>2.8448965667736507E-4</v>
      </c>
      <c r="S143" s="2"/>
      <c r="T143" s="6">
        <v>250</v>
      </c>
      <c r="U143" s="2"/>
      <c r="V143" s="7">
        <f t="shared" si="113"/>
        <v>8.1063842964420427E-5</v>
      </c>
      <c r="W143" s="2"/>
      <c r="X143" s="6">
        <f t="shared" si="114"/>
        <v>245</v>
      </c>
      <c r="Y143" s="2"/>
      <c r="Z143" s="7">
        <f t="shared" si="115"/>
        <v>0.98</v>
      </c>
    </row>
    <row r="144" spans="1:26" s="24" customFormat="1" hidden="1" outlineLevel="2" x14ac:dyDescent="0.3">
      <c r="A144" s="27"/>
      <c r="B144" s="11" t="str">
        <f>CONCATENATE("          ", "6294", " - ", "TRAVEL OPERATIONAL")</f>
        <v xml:space="preserve">          6294 - TRAVEL OPERATIONAL</v>
      </c>
      <c r="C144" s="11"/>
      <c r="D144" s="6"/>
      <c r="E144" s="2"/>
      <c r="F144" s="7">
        <f t="shared" si="108"/>
        <v>0</v>
      </c>
      <c r="G144" s="2"/>
      <c r="H144" s="6">
        <v>25</v>
      </c>
      <c r="I144" s="2"/>
      <c r="J144" s="7">
        <f t="shared" si="109"/>
        <v>9.0785094975734968E-6</v>
      </c>
      <c r="K144" s="2"/>
      <c r="L144" s="6">
        <f t="shared" si="110"/>
        <v>-25</v>
      </c>
      <c r="M144" s="2"/>
      <c r="N144" s="7">
        <f t="shared" si="111"/>
        <v>-1</v>
      </c>
      <c r="O144" s="11"/>
      <c r="P144" s="6">
        <v>188.14</v>
      </c>
      <c r="Q144" s="2"/>
      <c r="R144" s="7">
        <f t="shared" si="112"/>
        <v>1.0812905860056457E-4</v>
      </c>
      <c r="S144" s="2"/>
      <c r="T144" s="6">
        <v>50</v>
      </c>
      <c r="U144" s="2"/>
      <c r="V144" s="7">
        <f t="shared" si="113"/>
        <v>1.6212768592884087E-5</v>
      </c>
      <c r="W144" s="2"/>
      <c r="X144" s="6">
        <f t="shared" si="114"/>
        <v>138.13999999999999</v>
      </c>
      <c r="Y144" s="2"/>
      <c r="Z144" s="7">
        <f t="shared" si="115"/>
        <v>2.7627999999999999</v>
      </c>
    </row>
    <row r="145" spans="1:26" s="24" customFormat="1" hidden="1" outlineLevel="2" x14ac:dyDescent="0.3">
      <c r="A145" s="27"/>
      <c r="B145" s="11" t="str">
        <f>CONCATENATE("          ", "6298", " - ", "VEHICLE MILEAGE")</f>
        <v xml:space="preserve">          6298 - VEHICLE MILEAGE</v>
      </c>
      <c r="C145" s="11"/>
      <c r="D145" s="6"/>
      <c r="E145" s="2"/>
      <c r="F145" s="7">
        <f t="shared" si="108"/>
        <v>0</v>
      </c>
      <c r="G145" s="2"/>
      <c r="H145" s="6">
        <v>25</v>
      </c>
      <c r="I145" s="2"/>
      <c r="J145" s="7">
        <f t="shared" si="109"/>
        <v>9.0785094975734968E-6</v>
      </c>
      <c r="K145" s="2"/>
      <c r="L145" s="6">
        <f t="shared" si="110"/>
        <v>-25</v>
      </c>
      <c r="M145" s="2"/>
      <c r="N145" s="7">
        <f t="shared" si="111"/>
        <v>-1</v>
      </c>
      <c r="O145" s="11"/>
      <c r="P145" s="6"/>
      <c r="Q145" s="2"/>
      <c r="R145" s="7">
        <f t="shared" si="112"/>
        <v>0</v>
      </c>
      <c r="S145" s="2"/>
      <c r="T145" s="6">
        <v>50</v>
      </c>
      <c r="U145" s="2"/>
      <c r="V145" s="7">
        <f t="shared" si="113"/>
        <v>1.6212768592884087E-5</v>
      </c>
      <c r="W145" s="2"/>
      <c r="X145" s="6">
        <f t="shared" si="114"/>
        <v>-50</v>
      </c>
      <c r="Y145" s="2"/>
      <c r="Z145" s="7">
        <f t="shared" si="115"/>
        <v>-1</v>
      </c>
    </row>
    <row r="146" spans="1:26" s="28" customFormat="1" outlineLevel="1" collapsed="1" x14ac:dyDescent="0.3">
      <c r="A146" s="29"/>
      <c r="B146" s="14" t="str">
        <f>CONCATENATE("     ","Utilities                                         ")</f>
        <v xml:space="preserve">     Utilities                                         </v>
      </c>
      <c r="C146" s="14"/>
      <c r="D146" s="1">
        <f>SUM(OSRRefD22_25x_0)</f>
        <v>6137.29</v>
      </c>
      <c r="E146" s="1"/>
      <c r="F146" s="5">
        <f t="shared" ref="F146:F147" si="116">IF(D$12=0,0,D146/D$12)</f>
        <v>4.0391268319284494E-3</v>
      </c>
      <c r="G146" s="1"/>
      <c r="H146" s="1">
        <f>SUM(OSRRefH22_25x_0)</f>
        <v>6120</v>
      </c>
      <c r="I146" s="1"/>
      <c r="J146" s="5">
        <f t="shared" ref="J146:J147" si="117">IF(H$12=0,0,H146/H$12)</f>
        <v>2.2224191250059919E-3</v>
      </c>
      <c r="K146" s="1"/>
      <c r="L146" s="1">
        <f t="shared" ref="L146:L147" si="118">+D146-H146</f>
        <v>17.289999999999964</v>
      </c>
      <c r="M146" s="1"/>
      <c r="N146" s="5">
        <f t="shared" ref="N146:N147" si="119">IF(H146=0,0,L146/H146)</f>
        <v>2.8251633986928044E-3</v>
      </c>
      <c r="O146" s="14"/>
      <c r="P146" s="1">
        <f>SUM(OSRRefP22_25x_0)</f>
        <v>12273.78</v>
      </c>
      <c r="Q146" s="1"/>
      <c r="R146" s="5">
        <f t="shared" ref="R146:R147" si="120">IF(P$12=0,0,P146/P$12)</f>
        <v>7.0540675925929493E-3</v>
      </c>
      <c r="S146" s="1"/>
      <c r="T146" s="1">
        <f>SUM(OSRRefT22_25x_0)</f>
        <v>12240</v>
      </c>
      <c r="U146" s="1"/>
      <c r="V146" s="5">
        <f t="shared" ref="V146:V147" si="121">IF(T$12=0,0,T146/T$12)</f>
        <v>3.9688857515380246E-3</v>
      </c>
      <c r="W146" s="1"/>
      <c r="X146" s="1">
        <f t="shared" ref="X146:X147" si="122">+P146-T146</f>
        <v>33.780000000000655</v>
      </c>
      <c r="Y146" s="1"/>
      <c r="Z146" s="5">
        <f t="shared" ref="Z146:Z147" si="123">IF(T146=0,0,X146/T146)</f>
        <v>2.7598039215686811E-3</v>
      </c>
    </row>
    <row r="147" spans="1:26" s="24" customFormat="1" hidden="1" outlineLevel="2" x14ac:dyDescent="0.3">
      <c r="A147" s="27"/>
      <c r="B147" s="11" t="str">
        <f>CONCATENATE("          ", "6274", " - ", "UTILITIES")</f>
        <v xml:space="preserve">          6274 - UTILITIES</v>
      </c>
      <c r="C147" s="11"/>
      <c r="D147" s="6">
        <v>6137.29</v>
      </c>
      <c r="E147" s="2"/>
      <c r="F147" s="7">
        <f t="shared" si="116"/>
        <v>4.0391268319284494E-3</v>
      </c>
      <c r="G147" s="2"/>
      <c r="H147" s="6">
        <v>6120</v>
      </c>
      <c r="I147" s="2"/>
      <c r="J147" s="7">
        <f t="shared" si="117"/>
        <v>2.2224191250059919E-3</v>
      </c>
      <c r="K147" s="2"/>
      <c r="L147" s="6">
        <f t="shared" si="118"/>
        <v>17.289999999999964</v>
      </c>
      <c r="M147" s="2"/>
      <c r="N147" s="7">
        <f t="shared" si="119"/>
        <v>2.8251633986928044E-3</v>
      </c>
      <c r="O147" s="11"/>
      <c r="P147" s="6">
        <v>12273.78</v>
      </c>
      <c r="Q147" s="2"/>
      <c r="R147" s="7">
        <f t="shared" si="120"/>
        <v>7.0540675925929493E-3</v>
      </c>
      <c r="S147" s="2"/>
      <c r="T147" s="6">
        <v>12240</v>
      </c>
      <c r="U147" s="2"/>
      <c r="V147" s="7">
        <f t="shared" si="121"/>
        <v>3.9688857515380246E-3</v>
      </c>
      <c r="W147" s="2"/>
      <c r="X147" s="6">
        <f t="shared" si="122"/>
        <v>33.780000000000655</v>
      </c>
      <c r="Y147" s="2"/>
      <c r="Z147" s="7">
        <f t="shared" si="123"/>
        <v>2.7598039215686811E-3</v>
      </c>
    </row>
    <row r="148" spans="1:26" s="53" customFormat="1" x14ac:dyDescent="0.3">
      <c r="A148" s="36"/>
      <c r="B148" s="36"/>
      <c r="C148" s="36"/>
      <c r="D148" s="1"/>
      <c r="E148" s="1"/>
      <c r="F148" s="5"/>
      <c r="G148" s="1"/>
      <c r="H148" s="1"/>
      <c r="I148" s="1"/>
      <c r="J148" s="5"/>
      <c r="K148" s="1"/>
      <c r="L148" s="1"/>
      <c r="M148" s="1"/>
      <c r="N148" s="5"/>
      <c r="O148" s="36"/>
      <c r="P148" s="1"/>
      <c r="Q148" s="1"/>
      <c r="R148" s="5"/>
      <c r="S148" s="1"/>
      <c r="T148" s="1"/>
      <c r="U148" s="1"/>
      <c r="V148" s="5"/>
      <c r="W148" s="1"/>
      <c r="X148" s="1"/>
      <c r="Y148" s="1"/>
      <c r="Z148" s="5"/>
    </row>
    <row r="149" spans="1:26" s="23" customFormat="1" collapsed="1" x14ac:dyDescent="0.3">
      <c r="A149" s="10"/>
      <c r="B149" s="25" t="s">
        <v>293</v>
      </c>
      <c r="C149" s="10"/>
      <c r="D149" s="4">
        <f>SUM(OSRRefD25x_0)</f>
        <v>144356.09</v>
      </c>
      <c r="E149" s="4"/>
      <c r="F149" s="12">
        <f t="shared" ref="F149:F154" si="124">IF(D$12=0,0,D149/D$12)</f>
        <v>9.5004889205378612E-2</v>
      </c>
      <c r="G149" s="4"/>
      <c r="H149" s="4">
        <f>SUM(OSRRefH25x_0)</f>
        <v>53166</v>
      </c>
      <c r="I149" s="4"/>
      <c r="J149" s="12">
        <f t="shared" ref="J149:J154" si="125">IF(H$12=0,0,H149/H$12)</f>
        <v>1.9306721437919699E-2</v>
      </c>
      <c r="K149" s="4"/>
      <c r="L149" s="4">
        <f t="shared" ref="L149:L154" si="126">+D149-H149</f>
        <v>91190.09</v>
      </c>
      <c r="M149" s="4"/>
      <c r="N149" s="12">
        <f t="shared" ref="N149:N154" si="127">IF(H149=0,0,L149/H149)</f>
        <v>1.7151956137381033</v>
      </c>
      <c r="O149" s="10"/>
      <c r="P149" s="4">
        <f>SUM(OSRRefP25x_0)</f>
        <v>183996.94</v>
      </c>
      <c r="Q149" s="4"/>
      <c r="R149" s="12">
        <f t="shared" ref="R149:R154" si="128">IF(P$12=0,0,P149/P$12)</f>
        <v>0.10574793189956715</v>
      </c>
      <c r="S149" s="4"/>
      <c r="T149" s="4">
        <f>SUM(OSRRefT25x_0)</f>
        <v>74868</v>
      </c>
      <c r="U149" s="4"/>
      <c r="V149" s="12">
        <f t="shared" ref="V149:V154" si="129">IF(T$12=0,0,T149/T$12)</f>
        <v>2.4276351180240914E-2</v>
      </c>
      <c r="W149" s="4"/>
      <c r="X149" s="4">
        <f t="shared" ref="X149:X154" si="130">+P149-T149</f>
        <v>109128.94</v>
      </c>
      <c r="Y149" s="4"/>
      <c r="Z149" s="12">
        <f t="shared" ref="Z149:Z154" si="131">IF(T149=0,0,X149/T149)</f>
        <v>1.4576179409093337</v>
      </c>
    </row>
    <row r="150" spans="1:26" s="24" customFormat="1" hidden="1" outlineLevel="1" x14ac:dyDescent="0.3">
      <c r="A150" s="44"/>
      <c r="B150" s="11" t="str">
        <f>CONCATENATE("          ", "9150", " - ", "MISC. INCOME")</f>
        <v xml:space="preserve">          9150 - MISC. INCOME</v>
      </c>
      <c r="C150" s="11"/>
      <c r="D150" s="2">
        <f>--74872.62</f>
        <v>74872.62</v>
      </c>
      <c r="E150" s="2"/>
      <c r="F150" s="19">
        <f t="shared" si="124"/>
        <v>4.9275821807146583E-2</v>
      </c>
      <c r="G150" s="2"/>
      <c r="H150" s="2">
        <v>10166</v>
      </c>
      <c r="I150" s="2"/>
      <c r="J150" s="19">
        <f t="shared" si="125"/>
        <v>3.6916851020932866E-3</v>
      </c>
      <c r="K150" s="2"/>
      <c r="L150" s="2">
        <f t="shared" si="126"/>
        <v>64706.619999999995</v>
      </c>
      <c r="M150" s="2"/>
      <c r="N150" s="19">
        <f t="shared" si="127"/>
        <v>6.3650029510131807</v>
      </c>
      <c r="O150" s="11"/>
      <c r="P150" s="2">
        <f>--108117.61</f>
        <v>108117.61</v>
      </c>
      <c r="Q150" s="2"/>
      <c r="R150" s="19">
        <f t="shared" si="128"/>
        <v>6.2138064140762124E-2</v>
      </c>
      <c r="S150" s="2"/>
      <c r="T150" s="2">
        <v>31868</v>
      </c>
      <c r="U150" s="2"/>
      <c r="V150" s="19">
        <f t="shared" si="129"/>
        <v>1.0333370190360602E-2</v>
      </c>
      <c r="W150" s="2"/>
      <c r="X150" s="2">
        <f t="shared" si="130"/>
        <v>76249.61</v>
      </c>
      <c r="Y150" s="2"/>
      <c r="Z150" s="19">
        <f t="shared" si="131"/>
        <v>2.392670076565834</v>
      </c>
    </row>
    <row r="151" spans="1:26" s="24" customFormat="1" hidden="1" outlineLevel="1" x14ac:dyDescent="0.3">
      <c r="A151" s="44"/>
      <c r="B151" s="11" t="str">
        <f>CONCATENATE("          ", "9151", " - ", "MISC. INCOME")</f>
        <v xml:space="preserve">          9151 - MISC. INCOME</v>
      </c>
      <c r="C151" s="11"/>
      <c r="D151" s="2">
        <f>--11556.36</f>
        <v>11556.36</v>
      </c>
      <c r="E151" s="2"/>
      <c r="F151" s="19">
        <f t="shared" si="124"/>
        <v>7.6055724522427091E-3</v>
      </c>
      <c r="G151" s="2"/>
      <c r="H151" s="2">
        <v>43000</v>
      </c>
      <c r="I151" s="2"/>
      <c r="J151" s="19">
        <f t="shared" si="125"/>
        <v>1.5615036335826412E-2</v>
      </c>
      <c r="K151" s="2"/>
      <c r="L151" s="2">
        <f t="shared" si="126"/>
        <v>-31443.64</v>
      </c>
      <c r="M151" s="2"/>
      <c r="N151" s="19">
        <f t="shared" si="127"/>
        <v>-0.73124744186046509</v>
      </c>
      <c r="O151" s="11"/>
      <c r="P151" s="2">
        <f>--11556.36</f>
        <v>11556.36</v>
      </c>
      <c r="Q151" s="2"/>
      <c r="R151" s="19">
        <f t="shared" si="128"/>
        <v>6.6417472501818882E-3</v>
      </c>
      <c r="S151" s="2"/>
      <c r="T151" s="2">
        <v>43000</v>
      </c>
      <c r="U151" s="2"/>
      <c r="V151" s="19">
        <f t="shared" si="129"/>
        <v>1.3942980989880314E-2</v>
      </c>
      <c r="W151" s="2"/>
      <c r="X151" s="2">
        <f t="shared" si="130"/>
        <v>-31443.64</v>
      </c>
      <c r="Y151" s="2"/>
      <c r="Z151" s="19">
        <f t="shared" si="131"/>
        <v>-0.73124744186046509</v>
      </c>
    </row>
    <row r="152" spans="1:26" s="24" customFormat="1" hidden="1" outlineLevel="1" x14ac:dyDescent="0.3">
      <c r="A152" s="44"/>
      <c r="B152" s="11" t="str">
        <f>CONCATENATE("          ", "9152", " - ", "MISC. INCOME")</f>
        <v xml:space="preserve">          9152 - MISC. INCOME</v>
      </c>
      <c r="C152" s="11"/>
      <c r="D152" s="2">
        <f>--936.11</f>
        <v>936.11</v>
      </c>
      <c r="E152" s="2"/>
      <c r="F152" s="19">
        <f t="shared" si="124"/>
        <v>6.1608087912361003E-4</v>
      </c>
      <c r="G152" s="2"/>
      <c r="H152" s="2"/>
      <c r="I152" s="2"/>
      <c r="J152" s="19">
        <f t="shared" si="125"/>
        <v>0</v>
      </c>
      <c r="K152" s="2"/>
      <c r="L152" s="2">
        <f t="shared" si="126"/>
        <v>936.11</v>
      </c>
      <c r="M152" s="2"/>
      <c r="N152" s="19">
        <f t="shared" si="127"/>
        <v>0</v>
      </c>
      <c r="O152" s="11"/>
      <c r="P152" s="2">
        <f>--1003.03</f>
        <v>1003.03</v>
      </c>
      <c r="Q152" s="2"/>
      <c r="R152" s="19">
        <f t="shared" si="128"/>
        <v>5.7646800068100496E-4</v>
      </c>
      <c r="S152" s="2"/>
      <c r="T152" s="2"/>
      <c r="U152" s="2"/>
      <c r="V152" s="19">
        <f t="shared" si="129"/>
        <v>0</v>
      </c>
      <c r="W152" s="2"/>
      <c r="X152" s="2">
        <f t="shared" si="130"/>
        <v>1003.03</v>
      </c>
      <c r="Y152" s="2"/>
      <c r="Z152" s="19">
        <f t="shared" si="131"/>
        <v>0</v>
      </c>
    </row>
    <row r="153" spans="1:26" s="24" customFormat="1" hidden="1" outlineLevel="1" x14ac:dyDescent="0.3">
      <c r="A153" s="44"/>
      <c r="B153" s="11" t="str">
        <f>CONCATENATE("          ", "9160", " - ", "MISC. INCOME")</f>
        <v xml:space="preserve">          9160 - MISC. INCOME</v>
      </c>
      <c r="C153" s="11"/>
      <c r="D153" s="2">
        <f>0</f>
        <v>0</v>
      </c>
      <c r="E153" s="2"/>
      <c r="F153" s="19">
        <f t="shared" si="124"/>
        <v>0</v>
      </c>
      <c r="G153" s="2"/>
      <c r="H153" s="2">
        <v>0</v>
      </c>
      <c r="I153" s="2"/>
      <c r="J153" s="19">
        <f t="shared" si="125"/>
        <v>0</v>
      </c>
      <c r="K153" s="2"/>
      <c r="L153" s="2">
        <f t="shared" si="126"/>
        <v>0</v>
      </c>
      <c r="M153" s="2"/>
      <c r="N153" s="19">
        <f t="shared" si="127"/>
        <v>0</v>
      </c>
      <c r="O153" s="11"/>
      <c r="P153" s="2">
        <f>0</f>
        <v>0</v>
      </c>
      <c r="Q153" s="2"/>
      <c r="R153" s="19">
        <f t="shared" si="128"/>
        <v>0</v>
      </c>
      <c r="S153" s="2"/>
      <c r="T153" s="2">
        <v>0</v>
      </c>
      <c r="U153" s="2"/>
      <c r="V153" s="19">
        <f t="shared" si="129"/>
        <v>0</v>
      </c>
      <c r="W153" s="2"/>
      <c r="X153" s="2">
        <f t="shared" si="130"/>
        <v>0</v>
      </c>
      <c r="Y153" s="2"/>
      <c r="Z153" s="19">
        <f t="shared" si="131"/>
        <v>0</v>
      </c>
    </row>
    <row r="154" spans="1:26" s="24" customFormat="1" hidden="1" outlineLevel="1" x14ac:dyDescent="0.3">
      <c r="A154" s="44"/>
      <c r="B154" s="11" t="str">
        <f>CONCATENATE("          ", "9163", " - ", "MISC. INCOME")</f>
        <v xml:space="preserve">          9163 - MISC. INCOME</v>
      </c>
      <c r="C154" s="11"/>
      <c r="D154" s="2">
        <f>--56991</f>
        <v>56991</v>
      </c>
      <c r="E154" s="2"/>
      <c r="F154" s="19">
        <f t="shared" si="124"/>
        <v>3.750741406686571E-2</v>
      </c>
      <c r="G154" s="2"/>
      <c r="H154" s="2"/>
      <c r="I154" s="2"/>
      <c r="J154" s="19">
        <f t="shared" si="125"/>
        <v>0</v>
      </c>
      <c r="K154" s="2"/>
      <c r="L154" s="2">
        <f t="shared" si="126"/>
        <v>56991</v>
      </c>
      <c r="M154" s="2"/>
      <c r="N154" s="19">
        <f t="shared" si="127"/>
        <v>0</v>
      </c>
      <c r="O154" s="11"/>
      <c r="P154" s="2">
        <f>--63319.94</f>
        <v>63319.94</v>
      </c>
      <c r="Q154" s="2"/>
      <c r="R154" s="19">
        <f t="shared" si="128"/>
        <v>3.6391652507942129E-2</v>
      </c>
      <c r="S154" s="2"/>
      <c r="T154" s="2"/>
      <c r="U154" s="2"/>
      <c r="V154" s="19">
        <f t="shared" si="129"/>
        <v>0</v>
      </c>
      <c r="W154" s="2"/>
      <c r="X154" s="2">
        <f t="shared" si="130"/>
        <v>63319.94</v>
      </c>
      <c r="Y154" s="2"/>
      <c r="Z154" s="19">
        <f t="shared" si="131"/>
        <v>0</v>
      </c>
    </row>
    <row r="155" spans="1:26" x14ac:dyDescent="0.3">
      <c r="A155" s="9"/>
      <c r="B155" s="10"/>
      <c r="C155" s="10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O155" s="10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x14ac:dyDescent="0.3">
      <c r="A156" s="10"/>
      <c r="B156" s="26" t="s">
        <v>277</v>
      </c>
      <c r="C156" s="26"/>
      <c r="D156" s="21">
        <f>+D52-D54+D149</f>
        <v>300187.22999999986</v>
      </c>
      <c r="E156" s="13"/>
      <c r="F156" s="20">
        <f>IF(D$12=0,0,D156/D$12)</f>
        <v>0.1975618384165122</v>
      </c>
      <c r="G156" s="13"/>
      <c r="H156" s="21">
        <f>+H52-H54+H149</f>
        <v>559616.30706097186</v>
      </c>
      <c r="I156" s="13"/>
      <c r="J156" s="20">
        <f>IF(H$12=0,0,H156/H$12)</f>
        <v>0.20321927834600156</v>
      </c>
      <c r="K156" s="16"/>
      <c r="L156" s="21">
        <f>+D156-H156</f>
        <v>-259429.07706097199</v>
      </c>
      <c r="M156" s="16"/>
      <c r="N156" s="20">
        <f>IF(H156=0,0,L156/H156)</f>
        <v>-0.46358384090602711</v>
      </c>
      <c r="O156" s="25"/>
      <c r="P156" s="21">
        <f>+P52-P54+P149</f>
        <v>57544.629999999946</v>
      </c>
      <c r="Q156" s="13"/>
      <c r="R156" s="20">
        <f>IF(P$12=0,0,P156/P$12)</f>
        <v>3.3072428348133308E-2</v>
      </c>
      <c r="S156" s="13"/>
      <c r="T156" s="21">
        <f>+T52-T54+T149</f>
        <v>281263.05653906171</v>
      </c>
      <c r="U156" s="13"/>
      <c r="V156" s="20">
        <f>IF(T$12=0,0,T156/T$12)</f>
        <v>9.120105698790161E-2</v>
      </c>
      <c r="W156" s="16"/>
      <c r="X156" s="21">
        <f>+P156-T156</f>
        <v>-223718.42653906177</v>
      </c>
      <c r="Y156" s="16"/>
      <c r="Z156" s="20">
        <f>IF(T156=0,0,X156/T156)</f>
        <v>-0.79540636901239048</v>
      </c>
    </row>
    <row r="157" spans="1:26" x14ac:dyDescent="0.3">
      <c r="A157" s="9"/>
      <c r="B157" s="10"/>
      <c r="C157" s="9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3">
      <c r="A158" s="52"/>
      <c r="B158" s="10" t="s">
        <v>128</v>
      </c>
      <c r="C158" s="10"/>
      <c r="D158" s="4">
        <v>158137.92000000001</v>
      </c>
      <c r="E158" s="4"/>
      <c r="F158" s="12">
        <f>IF(D$12=0,0,D158/D$12)</f>
        <v>0.10407510738735738</v>
      </c>
      <c r="G158" s="4"/>
      <c r="H158" s="4">
        <v>225794</v>
      </c>
      <c r="I158" s="4"/>
      <c r="J158" s="12">
        <f>IF(H$12=0,0,H158/H$12)</f>
        <v>8.1994918939804401E-2</v>
      </c>
      <c r="K158" s="4"/>
      <c r="L158" s="4">
        <f>+D158-H158</f>
        <v>-67656.079999999987</v>
      </c>
      <c r="M158" s="4"/>
      <c r="N158" s="12">
        <f>IF(H158=0,0,L158/H158)</f>
        <v>-0.29963630565914057</v>
      </c>
      <c r="O158" s="10"/>
      <c r="P158" s="4">
        <v>260007.19</v>
      </c>
      <c r="Q158" s="4"/>
      <c r="R158" s="12">
        <f>IF(P$12=0,0,P158/P$12)</f>
        <v>0.14943304286211398</v>
      </c>
      <c r="S158" s="4"/>
      <c r="T158" s="4">
        <v>345388</v>
      </c>
      <c r="U158" s="4"/>
      <c r="V158" s="12">
        <f>IF(T$12=0,0,T158/T$12)</f>
        <v>0.11199391437518097</v>
      </c>
      <c r="W158" s="4"/>
      <c r="X158" s="4">
        <f>+P158-T158</f>
        <v>-85380.81</v>
      </c>
      <c r="Y158" s="4"/>
      <c r="Z158" s="12">
        <f>IF(T158=0,0,X158/T158)</f>
        <v>-0.24720259534205008</v>
      </c>
    </row>
    <row r="159" spans="1:26" x14ac:dyDescent="0.3">
      <c r="A159" s="9"/>
      <c r="B159" s="10"/>
      <c r="C159" s="10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O159" s="10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ht="15" thickBot="1" x14ac:dyDescent="0.35">
      <c r="A160" s="10"/>
      <c r="B160" s="26" t="s">
        <v>126</v>
      </c>
      <c r="C160" s="26"/>
      <c r="D160" s="30">
        <f>+D156-D158</f>
        <v>142049.30999999985</v>
      </c>
      <c r="E160" s="13"/>
      <c r="F160" s="35">
        <f>IF(D$12=0,0,D160/D$12)</f>
        <v>9.3486731029154821E-2</v>
      </c>
      <c r="G160" s="13"/>
      <c r="H160" s="30">
        <f>+H156-H158</f>
        <v>333822.30706097186</v>
      </c>
      <c r="I160" s="13"/>
      <c r="J160" s="35">
        <f>IF(H$12=0,0,H160/H$12)</f>
        <v>0.12122435940619716</v>
      </c>
      <c r="K160" s="16"/>
      <c r="L160" s="30">
        <f>D160-H160</f>
        <v>-191772.997060972</v>
      </c>
      <c r="M160" s="16"/>
      <c r="N160" s="35">
        <f>IF(H160=0,0,L160/H160)</f>
        <v>-0.57447627975905491</v>
      </c>
      <c r="O160" s="25"/>
      <c r="P160" s="30">
        <f>+P156-P158</f>
        <v>-202462.56000000006</v>
      </c>
      <c r="Q160" s="13"/>
      <c r="R160" s="35">
        <f>IF(P$12=0,0,P160/P$12)</f>
        <v>-0.11636061451398069</v>
      </c>
      <c r="S160" s="13"/>
      <c r="T160" s="30">
        <f>+T156-T158</f>
        <v>-64124.943460938288</v>
      </c>
      <c r="U160" s="13"/>
      <c r="V160" s="35">
        <f>IF(T$12=0,0,T160/T$12)</f>
        <v>-2.0792857387279359E-2</v>
      </c>
      <c r="W160" s="16"/>
      <c r="X160" s="30">
        <f>P160-T160</f>
        <v>-138337.61653906177</v>
      </c>
      <c r="Y160" s="16"/>
      <c r="Z160" s="35">
        <f>IF(T160=0,0,X160/T160)</f>
        <v>2.1573136609988612</v>
      </c>
    </row>
    <row r="161" spans="1:26" ht="15" thickTop="1" x14ac:dyDescent="0.3">
      <c r="A161" s="9"/>
      <c r="B161" s="9"/>
      <c r="C161" s="9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x14ac:dyDescent="0.3">
      <c r="A162" s="9"/>
      <c r="B162" s="9"/>
      <c r="C162" s="9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ht="15" thickBot="1" x14ac:dyDescent="0.35">
      <c r="A163" s="10"/>
      <c r="B163" s="26" t="s">
        <v>294</v>
      </c>
      <c r="C163" s="26"/>
      <c r="D163" s="32">
        <f>SUM(D160:D162)</f>
        <v>142049.30999999985</v>
      </c>
      <c r="E163" s="13"/>
      <c r="F163" s="34">
        <f>IF(D$12=0,0,D163/D$12)</f>
        <v>9.3486731029154821E-2</v>
      </c>
      <c r="G163" s="13"/>
      <c r="H163" s="32">
        <f>SUM(H160:H162)</f>
        <v>333822.30706097186</v>
      </c>
      <c r="I163" s="13"/>
      <c r="J163" s="34">
        <f>IF(H$12=0,0,H163/H$12)</f>
        <v>0.12122435940619716</v>
      </c>
      <c r="K163" s="16"/>
      <c r="L163" s="32">
        <f>+D163-H163</f>
        <v>-191772.997060972</v>
      </c>
      <c r="M163" s="16"/>
      <c r="N163" s="34">
        <f>IF(H163=0,0,L163/H163)</f>
        <v>-0.57447627975905491</v>
      </c>
      <c r="O163" s="25"/>
      <c r="P163" s="32">
        <f>SUM(P160:P162)</f>
        <v>-202462.56000000006</v>
      </c>
      <c r="Q163" s="13"/>
      <c r="R163" s="34">
        <f>IF(P$12=0,0,P163/P$12)</f>
        <v>-0.11636061451398069</v>
      </c>
      <c r="S163" s="13"/>
      <c r="T163" s="32">
        <f>SUM(T160:T162)</f>
        <v>-64124.943460938288</v>
      </c>
      <c r="U163" s="13"/>
      <c r="V163" s="34">
        <f>IF(T$12=0,0,T163/T$12)</f>
        <v>-2.0792857387279359E-2</v>
      </c>
      <c r="W163" s="16"/>
      <c r="X163" s="32">
        <f>+P163-T163</f>
        <v>-138337.61653906177</v>
      </c>
      <c r="Y163" s="16"/>
      <c r="Z163" s="34">
        <f>IF(T163=0,0,X163/T163)</f>
        <v>2.1573136609988612</v>
      </c>
    </row>
    <row r="164" spans="1:26" ht="15" thickTop="1" x14ac:dyDescent="0.3">
      <c r="A164" s="9"/>
      <c r="C164" s="9"/>
      <c r="D164" s="17"/>
      <c r="E164" s="17"/>
      <c r="G164" s="17"/>
      <c r="H164" s="17"/>
      <c r="I164" s="17"/>
      <c r="J164" s="42"/>
      <c r="K164" s="17"/>
      <c r="L164" s="17"/>
      <c r="M164" s="17"/>
      <c r="P164" s="17"/>
      <c r="Q164" s="17"/>
      <c r="R164" s="42"/>
      <c r="S164" s="17"/>
      <c r="T164" s="17"/>
      <c r="U164" s="17"/>
      <c r="V164" s="42"/>
      <c r="W164" s="17"/>
      <c r="X164" s="17"/>
    </row>
    <row r="165" spans="1:26" x14ac:dyDescent="0.3">
      <c r="A165" s="9"/>
      <c r="B165" s="61">
        <v>44470.835506249998</v>
      </c>
      <c r="D165" s="17"/>
      <c r="E165" s="17"/>
      <c r="G165" s="17"/>
      <c r="H165" s="17"/>
      <c r="I165" s="17"/>
      <c r="J165" s="42"/>
      <c r="K165" s="17"/>
      <c r="L165" s="17"/>
      <c r="M165" s="17"/>
      <c r="P165" s="17"/>
      <c r="Q165" s="17"/>
      <c r="R165" s="42"/>
      <c r="S165" s="17"/>
      <c r="T165" s="17"/>
      <c r="U165" s="17"/>
      <c r="V165" s="42"/>
      <c r="W165" s="17"/>
      <c r="X165" s="17"/>
    </row>
    <row r="166" spans="1:26" x14ac:dyDescent="0.3">
      <c r="A166" s="9"/>
      <c r="B166" s="58" t="s">
        <v>56</v>
      </c>
      <c r="D166" s="17"/>
      <c r="E166" s="17"/>
      <c r="G166" s="17"/>
      <c r="H166" s="17"/>
      <c r="I166" s="17"/>
      <c r="J166" s="42"/>
      <c r="K166" s="17"/>
      <c r="L166" s="17"/>
      <c r="M166" s="17"/>
      <c r="P166" s="17"/>
      <c r="Q166" s="17"/>
      <c r="R166" s="42"/>
      <c r="S166" s="17"/>
      <c r="T166" s="17"/>
      <c r="U166" s="17"/>
      <c r="V166" s="42"/>
      <c r="W166" s="17"/>
      <c r="X166" s="17"/>
    </row>
    <row r="167" spans="1:26" x14ac:dyDescent="0.3">
      <c r="A167" s="9"/>
      <c r="B167" s="55"/>
      <c r="D167" s="17"/>
      <c r="E167" s="17"/>
      <c r="G167" s="17"/>
      <c r="H167" s="17"/>
      <c r="I167" s="17"/>
      <c r="J167" s="42"/>
      <c r="K167" s="17"/>
      <c r="L167" s="17"/>
      <c r="M167" s="17"/>
      <c r="P167" s="17"/>
      <c r="Q167" s="17"/>
      <c r="R167" s="42"/>
      <c r="S167" s="17"/>
      <c r="T167" s="17"/>
      <c r="U167" s="17"/>
      <c r="V167" s="42"/>
      <c r="W167" s="17"/>
      <c r="X167" s="17"/>
    </row>
    <row r="168" spans="1:26" x14ac:dyDescent="0.3">
      <c r="D168" s="17"/>
      <c r="E168" s="17"/>
      <c r="G168" s="17"/>
      <c r="H168" s="17"/>
      <c r="I168" s="17"/>
      <c r="J168" s="42"/>
      <c r="K168" s="17"/>
      <c r="L168" s="17"/>
      <c r="M168" s="17"/>
      <c r="P168" s="17"/>
      <c r="Q168" s="17"/>
      <c r="R168" s="42"/>
      <c r="S168" s="17"/>
      <c r="T168" s="17"/>
      <c r="U168" s="17"/>
      <c r="V168" s="42"/>
      <c r="W168" s="17"/>
      <c r="X168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15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256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1512794.4499999997</v>
      </c>
      <c r="E12" s="4"/>
      <c r="F12" s="12"/>
      <c r="G12" s="4"/>
      <c r="H12" s="4">
        <f>SUM(OSRRefH13x_0)</f>
        <v>2741242</v>
      </c>
      <c r="I12" s="4"/>
      <c r="J12" s="12"/>
      <c r="K12" s="4"/>
      <c r="L12" s="4">
        <f t="shared" ref="L12:L18" si="0">+D12-H12</f>
        <v>-1228447.5500000003</v>
      </c>
      <c r="M12" s="4"/>
      <c r="N12" s="12">
        <f t="shared" ref="N12:N18" si="1">IF(H12=0,0,L12/H12)</f>
        <v>-0.44813538899520738</v>
      </c>
      <c r="O12" s="10"/>
      <c r="P12" s="4">
        <f>SUM(OSRRefP13x_0)</f>
        <v>1733292.67</v>
      </c>
      <c r="Q12" s="4"/>
      <c r="R12" s="12"/>
      <c r="S12" s="4"/>
      <c r="T12" s="4">
        <f>SUM(OSRRefT13x_0)</f>
        <v>3071475</v>
      </c>
      <c r="U12" s="4"/>
      <c r="V12" s="12"/>
      <c r="W12" s="4"/>
      <c r="X12" s="4">
        <f t="shared" ref="X12:X18" si="2">+P12-T12</f>
        <v>-1338182.33</v>
      </c>
      <c r="Y12" s="4"/>
      <c r="Z12" s="12">
        <f t="shared" ref="Z12:Z18" si="3">IF(T12=0,0,X12/T12)</f>
        <v>-0.43568068436174806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--1219418.38</f>
        <v>1219418.3799999999</v>
      </c>
      <c r="E13" s="2"/>
      <c r="F13" s="19"/>
      <c r="G13" s="2"/>
      <c r="H13" s="2">
        <v>2725728</v>
      </c>
      <c r="I13" s="2"/>
      <c r="J13" s="19"/>
      <c r="K13" s="2"/>
      <c r="L13" s="2">
        <f t="shared" si="0"/>
        <v>-1506309.62</v>
      </c>
      <c r="M13" s="2"/>
      <c r="N13" s="19">
        <f t="shared" si="1"/>
        <v>-0.55262653500275893</v>
      </c>
      <c r="O13" s="11"/>
      <c r="P13" s="2">
        <f>--1407466.71</f>
        <v>1407466.71</v>
      </c>
      <c r="Q13" s="2"/>
      <c r="R13" s="19"/>
      <c r="S13" s="2"/>
      <c r="T13" s="2">
        <v>3055406</v>
      </c>
      <c r="U13" s="2"/>
      <c r="V13" s="19"/>
      <c r="W13" s="2"/>
      <c r="X13" s="2">
        <f t="shared" si="2"/>
        <v>-1647939.29</v>
      </c>
      <c r="Y13" s="2"/>
      <c r="Z13" s="19">
        <f t="shared" si="3"/>
        <v>-0.53935198464623035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--326801.82</f>
        <v>326801.82</v>
      </c>
      <c r="E14" s="2"/>
      <c r="F14" s="19"/>
      <c r="G14" s="2"/>
      <c r="H14" s="2">
        <v>15514</v>
      </c>
      <c r="I14" s="2"/>
      <c r="J14" s="19"/>
      <c r="K14" s="2"/>
      <c r="L14" s="2">
        <f t="shared" si="0"/>
        <v>311287.82</v>
      </c>
      <c r="M14" s="2"/>
      <c r="N14" s="19">
        <f t="shared" si="1"/>
        <v>20.0649619698337</v>
      </c>
      <c r="O14" s="11"/>
      <c r="P14" s="2">
        <f>--365900.36</f>
        <v>365900.36</v>
      </c>
      <c r="Q14" s="2"/>
      <c r="R14" s="19"/>
      <c r="S14" s="2"/>
      <c r="T14" s="2">
        <v>16069</v>
      </c>
      <c r="U14" s="2"/>
      <c r="V14" s="19"/>
      <c r="W14" s="2"/>
      <c r="X14" s="2">
        <f t="shared" si="2"/>
        <v>349831.36</v>
      </c>
      <c r="Y14" s="2"/>
      <c r="Z14" s="19">
        <f t="shared" si="3"/>
        <v>21.770574397909016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--389.5</f>
        <v>389.5</v>
      </c>
      <c r="E15" s="2"/>
      <c r="F15" s="19"/>
      <c r="G15" s="2"/>
      <c r="H15" s="2"/>
      <c r="I15" s="2"/>
      <c r="J15" s="19"/>
      <c r="K15" s="2"/>
      <c r="L15" s="2">
        <f t="shared" si="0"/>
        <v>389.5</v>
      </c>
      <c r="M15" s="2"/>
      <c r="N15" s="19">
        <f t="shared" si="1"/>
        <v>0</v>
      </c>
      <c r="O15" s="11"/>
      <c r="P15" s="2">
        <f>--389.5</f>
        <v>389.5</v>
      </c>
      <c r="Q15" s="2"/>
      <c r="R15" s="19"/>
      <c r="S15" s="2"/>
      <c r="T15" s="2"/>
      <c r="U15" s="2"/>
      <c r="V15" s="19"/>
      <c r="W15" s="2"/>
      <c r="X15" s="2">
        <f t="shared" si="2"/>
        <v>389.5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--2713.4</f>
        <v>2713.4</v>
      </c>
      <c r="E16" s="2"/>
      <c r="F16" s="19"/>
      <c r="G16" s="2"/>
      <c r="H16" s="2"/>
      <c r="I16" s="2"/>
      <c r="J16" s="19"/>
      <c r="K16" s="2"/>
      <c r="L16" s="2">
        <f t="shared" si="0"/>
        <v>2713.4</v>
      </c>
      <c r="M16" s="2"/>
      <c r="N16" s="19">
        <f t="shared" si="1"/>
        <v>0</v>
      </c>
      <c r="O16" s="11"/>
      <c r="P16" s="2">
        <f>--2733.6</f>
        <v>2733.6</v>
      </c>
      <c r="Q16" s="2"/>
      <c r="R16" s="19"/>
      <c r="S16" s="2"/>
      <c r="T16" s="2"/>
      <c r="U16" s="2"/>
      <c r="V16" s="19"/>
      <c r="W16" s="2"/>
      <c r="X16" s="2">
        <f t="shared" si="2"/>
        <v>2733.6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-20240.57</f>
        <v>-20240.57</v>
      </c>
      <c r="E17" s="2"/>
      <c r="F17" s="19"/>
      <c r="G17" s="2"/>
      <c r="H17" s="2"/>
      <c r="I17" s="2"/>
      <c r="J17" s="19"/>
      <c r="K17" s="2"/>
      <c r="L17" s="2">
        <f t="shared" si="0"/>
        <v>-20240.57</v>
      </c>
      <c r="M17" s="2"/>
      <c r="N17" s="19">
        <f t="shared" si="1"/>
        <v>0</v>
      </c>
      <c r="O17" s="11"/>
      <c r="P17" s="2">
        <f>-25806.84</f>
        <v>-25806.84</v>
      </c>
      <c r="Q17" s="2"/>
      <c r="R17" s="19"/>
      <c r="S17" s="2"/>
      <c r="T17" s="2"/>
      <c r="U17" s="2"/>
      <c r="V17" s="19"/>
      <c r="W17" s="2"/>
      <c r="X17" s="2">
        <f t="shared" si="2"/>
        <v>-25806.84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"4300", " - ", "NON-TAX RETURNS")</f>
        <v xml:space="preserve">          4300 - NON-TAX RETURNS</v>
      </c>
      <c r="C18" s="11"/>
      <c r="D18" s="2">
        <f>-16288.08</f>
        <v>-16288.08</v>
      </c>
      <c r="E18" s="2"/>
      <c r="F18" s="19"/>
      <c r="G18" s="2"/>
      <c r="H18" s="2"/>
      <c r="I18" s="2"/>
      <c r="J18" s="19"/>
      <c r="K18" s="2"/>
      <c r="L18" s="2">
        <f t="shared" si="0"/>
        <v>-16288.08</v>
      </c>
      <c r="M18" s="2"/>
      <c r="N18" s="19">
        <f t="shared" si="1"/>
        <v>0</v>
      </c>
      <c r="O18" s="11"/>
      <c r="P18" s="2">
        <f>-17390.66</f>
        <v>-17390.66</v>
      </c>
      <c r="Q18" s="2"/>
      <c r="R18" s="19"/>
      <c r="S18" s="2"/>
      <c r="T18" s="2"/>
      <c r="U18" s="2"/>
      <c r="V18" s="19"/>
      <c r="W18" s="2"/>
      <c r="X18" s="2">
        <f t="shared" si="2"/>
        <v>-17390.66</v>
      </c>
      <c r="Y18" s="2"/>
      <c r="Z18" s="19">
        <f t="shared" si="3"/>
        <v>0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5" t="s">
        <v>257</v>
      </c>
      <c r="C20" s="10"/>
      <c r="D20" s="4">
        <f>SUM(OSRRefD16x_0)</f>
        <v>992337.97</v>
      </c>
      <c r="E20" s="4"/>
      <c r="F20" s="12">
        <f t="shared" ref="F20:F47" si="4">IF(D$12=0,0,D20/D$12)</f>
        <v>0.65596351837488576</v>
      </c>
      <c r="G20" s="4"/>
      <c r="H20" s="4">
        <f>SUM(OSRRefH16x_0)</f>
        <v>1855423</v>
      </c>
      <c r="I20" s="4"/>
      <c r="J20" s="12">
        <f t="shared" ref="J20:J47" si="5">IF(H$12=0,0,H20/H$12)</f>
        <v>0.67685487089428809</v>
      </c>
      <c r="K20" s="4"/>
      <c r="L20" s="4">
        <f t="shared" ref="L20:L47" si="6">+D20-H20</f>
        <v>-863085.03</v>
      </c>
      <c r="M20" s="4"/>
      <c r="N20" s="12">
        <f t="shared" ref="N20:N47" si="7">IF(H20=0,0,L20/H20)</f>
        <v>-0.4651688752376143</v>
      </c>
      <c r="O20" s="10"/>
      <c r="P20" s="4">
        <f>SUM(OSRRefP16x_0)</f>
        <v>1119759.4099999999</v>
      </c>
      <c r="Q20" s="4"/>
      <c r="R20" s="12">
        <f t="shared" ref="R20:R47" si="8">IF(P$12=0,0,P20/P$12)</f>
        <v>0.64603019985078458</v>
      </c>
      <c r="S20" s="4"/>
      <c r="T20" s="4">
        <f>SUM(OSRRefT16x_0)</f>
        <v>2059219</v>
      </c>
      <c r="U20" s="4"/>
      <c r="V20" s="12">
        <f t="shared" ref="V20:V47" si="9">IF(T$12=0,0,T20/T$12)</f>
        <v>0.67043326089256794</v>
      </c>
      <c r="W20" s="4"/>
      <c r="X20" s="4">
        <f t="shared" ref="X20:X47" si="10">+P20-T20</f>
        <v>-939459.59000000008</v>
      </c>
      <c r="Y20" s="4"/>
      <c r="Z20" s="12">
        <f t="shared" ref="Z20:Z47" si="11">IF(T20=0,0,X20/T20)</f>
        <v>-0.45622131011805939</v>
      </c>
    </row>
    <row r="21" spans="1:26" s="24" customFormat="1" hidden="1" outlineLevel="1" x14ac:dyDescent="0.3">
      <c r="A21" s="44"/>
      <c r="B21" s="11" t="str">
        <f>CONCATENATE("          ", "5000", " - ", "PURCHASES @ COST")</f>
        <v xml:space="preserve">          5000 - PURCHASES @ COST</v>
      </c>
      <c r="C21" s="11"/>
      <c r="D21" s="2">
        <v>500180.97</v>
      </c>
      <c r="E21" s="2"/>
      <c r="F21" s="19">
        <f t="shared" si="4"/>
        <v>0.33063379496137102</v>
      </c>
      <c r="G21" s="2"/>
      <c r="H21" s="2">
        <v>1855423</v>
      </c>
      <c r="I21" s="2"/>
      <c r="J21" s="19">
        <f t="shared" si="5"/>
        <v>0.67685487089428809</v>
      </c>
      <c r="K21" s="2"/>
      <c r="L21" s="2">
        <f t="shared" si="6"/>
        <v>-1355242.03</v>
      </c>
      <c r="M21" s="2"/>
      <c r="N21" s="19">
        <f t="shared" si="7"/>
        <v>-0.73042213554537161</v>
      </c>
      <c r="O21" s="11"/>
      <c r="P21" s="2">
        <v>844954.64</v>
      </c>
      <c r="Q21" s="2"/>
      <c r="R21" s="19">
        <f t="shared" si="8"/>
        <v>0.48748526698609995</v>
      </c>
      <c r="S21" s="2"/>
      <c r="T21" s="2">
        <v>2059219</v>
      </c>
      <c r="U21" s="2"/>
      <c r="V21" s="19">
        <f t="shared" si="9"/>
        <v>0.67043326089256794</v>
      </c>
      <c r="W21" s="2"/>
      <c r="X21" s="2">
        <f t="shared" si="10"/>
        <v>-1214264.3599999999</v>
      </c>
      <c r="Y21" s="2"/>
      <c r="Z21" s="19">
        <f t="shared" si="11"/>
        <v>-0.58967227866487237</v>
      </c>
    </row>
    <row r="22" spans="1:26" s="24" customFormat="1" hidden="1" outlineLevel="1" x14ac:dyDescent="0.3">
      <c r="A22" s="44"/>
      <c r="B22" s="11" t="str">
        <f>CONCATENATE("          ", "5001", " - ", "PURCHASES @ COST-NEW TEXT")</f>
        <v xml:space="preserve">          5001 - PURCHASES @ COST-NEW TEXT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"5002", " - ", "PURCHASES @ COST-USED TEXT")</f>
        <v xml:space="preserve">          5002 - PURCHASES @ COST-USED TEXT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"5004", " - ", "PURCHASES @ COST-DIGITAL TEXT")</f>
        <v xml:space="preserve">          5004 - PURCHASES @ COST-DIGITAL TEXT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"5026", " - ", "PURCHASES @ COST-WRITING INSTR")</f>
        <v xml:space="preserve">          5026 - PURCHASES @ COST-WRITING INSTR</v>
      </c>
      <c r="C25" s="11"/>
      <c r="D25" s="2">
        <v>0</v>
      </c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"5027", " - ", "PURCHASES @ COST-SCHOOL SUPPLI")</f>
        <v xml:space="preserve">          5027 - PURCHASES @ COST-SCHOOL SUPPLI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"5028", " - ", "PURCHASES @ COST-ART/TECH")</f>
        <v xml:space="preserve">          5028 - PURCHASES @ COST-ART/TECH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"5031", " - ", "PURCHASES @ COST-FOOD")</f>
        <v xml:space="preserve">          5031 - PURCHASES @ COST-FOOD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"5040", " - ", "PURCHASES @ COST-LOGO CLOTHING")</f>
        <v xml:space="preserve">          5040 - PURCHASES @ COST-LOGO CLOTHING</v>
      </c>
      <c r="C29" s="11"/>
      <c r="D29" s="2">
        <v>0</v>
      </c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"5041", " - ", "PURCHASES @ COST-LOGO GIFTS")</f>
        <v xml:space="preserve">          5041 - PURCHASES @ COST-LOGO GIFTS</v>
      </c>
      <c r="C30" s="11"/>
      <c r="D30" s="2">
        <v>0</v>
      </c>
      <c r="E30" s="2"/>
      <c r="F30" s="19">
        <f t="shared" si="4"/>
        <v>0</v>
      </c>
      <c r="G30" s="2"/>
      <c r="H30" s="2"/>
      <c r="I30" s="2"/>
      <c r="J30" s="19">
        <f t="shared" si="5"/>
        <v>0</v>
      </c>
      <c r="K30" s="2"/>
      <c r="L30" s="2">
        <f t="shared" si="6"/>
        <v>0</v>
      </c>
      <c r="M30" s="2"/>
      <c r="N30" s="19">
        <f t="shared" si="7"/>
        <v>0</v>
      </c>
      <c r="O30" s="11"/>
      <c r="P30" s="2">
        <v>0</v>
      </c>
      <c r="Q30" s="2"/>
      <c r="R30" s="19">
        <f t="shared" si="8"/>
        <v>0</v>
      </c>
      <c r="S30" s="2"/>
      <c r="T30" s="2"/>
      <c r="U30" s="2"/>
      <c r="V30" s="19">
        <f t="shared" si="9"/>
        <v>0</v>
      </c>
      <c r="W30" s="2"/>
      <c r="X30" s="2">
        <f t="shared" si="10"/>
        <v>0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"5042", " - ", "PURCHASES @ COST-EVERYDAY GIFT")</f>
        <v xml:space="preserve">          5042 - PURCHASES @ COST-EVERYDAY GIFT</v>
      </c>
      <c r="C31" s="11"/>
      <c r="D31" s="2">
        <v>0</v>
      </c>
      <c r="E31" s="2"/>
      <c r="F31" s="19">
        <f t="shared" si="4"/>
        <v>0</v>
      </c>
      <c r="G31" s="2"/>
      <c r="H31" s="2"/>
      <c r="I31" s="2"/>
      <c r="J31" s="19">
        <f t="shared" si="5"/>
        <v>0</v>
      </c>
      <c r="K31" s="2"/>
      <c r="L31" s="2">
        <f t="shared" si="6"/>
        <v>0</v>
      </c>
      <c r="M31" s="2"/>
      <c r="N31" s="19">
        <f t="shared" si="7"/>
        <v>0</v>
      </c>
      <c r="O31" s="11"/>
      <c r="P31" s="2">
        <v>0</v>
      </c>
      <c r="Q31" s="2"/>
      <c r="R31" s="19">
        <f t="shared" si="8"/>
        <v>0</v>
      </c>
      <c r="S31" s="2"/>
      <c r="T31" s="2"/>
      <c r="U31" s="2"/>
      <c r="V31" s="19">
        <f t="shared" si="9"/>
        <v>0</v>
      </c>
      <c r="W31" s="2"/>
      <c r="X31" s="2">
        <f t="shared" si="10"/>
        <v>0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"5043", " - ", "PURCHASES @ COST-CARDS")</f>
        <v xml:space="preserve">          5043 - PURCHASES @ COST-CARDS</v>
      </c>
      <c r="C32" s="11"/>
      <c r="D32" s="2">
        <v>0</v>
      </c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"5044", " - ", "PURCHASES @ COST-ACCESSORIES")</f>
        <v xml:space="preserve">          5044 - PURCHASES @ COST-ACCESSORIES</v>
      </c>
      <c r="C33" s="11"/>
      <c r="D33" s="2">
        <v>0</v>
      </c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"5045", " - ", "PURCHASES @ COST-SPECIAL ORDER")</f>
        <v xml:space="preserve">          5045 - PURCHASES @ COST-SPECIAL ORDER</v>
      </c>
      <c r="C34" s="11"/>
      <c r="D34" s="2">
        <v>0</v>
      </c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"5200", " - ", "PURCHASES OFFSET")</f>
        <v xml:space="preserve">          5200 - PURCHASES OFFSET</v>
      </c>
      <c r="C35" s="11"/>
      <c r="D35" s="2">
        <v>-303819.98</v>
      </c>
      <c r="E35" s="2"/>
      <c r="F35" s="19">
        <f t="shared" si="4"/>
        <v>-0.20083361622591889</v>
      </c>
      <c r="G35" s="2"/>
      <c r="H35" s="2"/>
      <c r="I35" s="2"/>
      <c r="J35" s="19">
        <f t="shared" si="5"/>
        <v>0</v>
      </c>
      <c r="K35" s="2"/>
      <c r="L35" s="2">
        <f t="shared" si="6"/>
        <v>-303819.98</v>
      </c>
      <c r="M35" s="2"/>
      <c r="N35" s="19">
        <f t="shared" si="7"/>
        <v>0</v>
      </c>
      <c r="O35" s="11"/>
      <c r="P35" s="2">
        <v>-650168.65</v>
      </c>
      <c r="Q35" s="2"/>
      <c r="R35" s="19">
        <f t="shared" si="8"/>
        <v>-0.37510609792170879</v>
      </c>
      <c r="S35" s="2"/>
      <c r="T35" s="2"/>
      <c r="U35" s="2"/>
      <c r="V35" s="19">
        <f t="shared" si="9"/>
        <v>0</v>
      </c>
      <c r="W35" s="2"/>
      <c r="X35" s="2">
        <f t="shared" si="10"/>
        <v>-650168.65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"5300", " - ", "COG$ OFFSET")</f>
        <v xml:space="preserve">          5300 - COG$ OFFSET</v>
      </c>
      <c r="C36" s="11"/>
      <c r="D36" s="2">
        <v>789387.34</v>
      </c>
      <c r="E36" s="2"/>
      <c r="F36" s="19">
        <f t="shared" si="4"/>
        <v>0.52180740086665445</v>
      </c>
      <c r="G36" s="2"/>
      <c r="H36" s="2"/>
      <c r="I36" s="2"/>
      <c r="J36" s="19">
        <f t="shared" si="5"/>
        <v>0</v>
      </c>
      <c r="K36" s="2"/>
      <c r="L36" s="2">
        <f t="shared" si="6"/>
        <v>789387.34</v>
      </c>
      <c r="M36" s="2"/>
      <c r="N36" s="19">
        <f t="shared" si="7"/>
        <v>0</v>
      </c>
      <c r="O36" s="11"/>
      <c r="P36" s="2">
        <v>914798.75</v>
      </c>
      <c r="Q36" s="2"/>
      <c r="R36" s="19">
        <f t="shared" si="8"/>
        <v>0.52778089115209836</v>
      </c>
      <c r="S36" s="2"/>
      <c r="T36" s="2"/>
      <c r="U36" s="2"/>
      <c r="V36" s="19">
        <f t="shared" si="9"/>
        <v>0</v>
      </c>
      <c r="W36" s="2"/>
      <c r="X36" s="2">
        <f t="shared" si="10"/>
        <v>914798.75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"5500", " - ", "FREIGHT-IN")</f>
        <v xml:space="preserve">          5500 - FREIGHT-IN</v>
      </c>
      <c r="C37" s="11"/>
      <c r="D37" s="2">
        <v>6589.64</v>
      </c>
      <c r="E37" s="2"/>
      <c r="F37" s="19">
        <f t="shared" si="4"/>
        <v>4.3559387727790787E-3</v>
      </c>
      <c r="G37" s="2"/>
      <c r="H37" s="2"/>
      <c r="I37" s="2"/>
      <c r="J37" s="19">
        <f t="shared" si="5"/>
        <v>0</v>
      </c>
      <c r="K37" s="2"/>
      <c r="L37" s="2">
        <f t="shared" si="6"/>
        <v>6589.64</v>
      </c>
      <c r="M37" s="2"/>
      <c r="N37" s="19">
        <f t="shared" si="7"/>
        <v>0</v>
      </c>
      <c r="O37" s="11"/>
      <c r="P37" s="2">
        <v>10174.67</v>
      </c>
      <c r="Q37" s="2"/>
      <c r="R37" s="19">
        <f t="shared" si="8"/>
        <v>5.8701396342949975E-3</v>
      </c>
      <c r="S37" s="2"/>
      <c r="T37" s="2"/>
      <c r="U37" s="2"/>
      <c r="V37" s="19">
        <f t="shared" si="9"/>
        <v>0</v>
      </c>
      <c r="W37" s="2"/>
      <c r="X37" s="2">
        <f t="shared" si="10"/>
        <v>10174.67</v>
      </c>
      <c r="Y37" s="2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"5501", " - ", "FREIGHT-IN-NEW TEXT")</f>
        <v xml:space="preserve">          5501 - FREIGHT-IN-NEW TEXT</v>
      </c>
      <c r="C38" s="11"/>
      <c r="D38" s="2">
        <v>0</v>
      </c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s="24" customFormat="1" hidden="1" outlineLevel="1" x14ac:dyDescent="0.3">
      <c r="A39" s="44"/>
      <c r="B39" s="11" t="str">
        <f>CONCATENATE("          ", "5502", " - ", "FREIGHT-IN-USED TEXT")</f>
        <v xml:space="preserve">          5502 - FREIGHT-IN-USED TEXT</v>
      </c>
      <c r="C39" s="11"/>
      <c r="D39" s="2">
        <v>0</v>
      </c>
      <c r="E39" s="2"/>
      <c r="F39" s="19">
        <f t="shared" si="4"/>
        <v>0</v>
      </c>
      <c r="G39" s="2"/>
      <c r="H39" s="2"/>
      <c r="I39" s="2"/>
      <c r="J39" s="19">
        <f t="shared" si="5"/>
        <v>0</v>
      </c>
      <c r="K39" s="2"/>
      <c r="L39" s="2">
        <f t="shared" si="6"/>
        <v>0</v>
      </c>
      <c r="M39" s="2"/>
      <c r="N39" s="19">
        <f t="shared" si="7"/>
        <v>0</v>
      </c>
      <c r="O39" s="11"/>
      <c r="P39" s="2">
        <v>0</v>
      </c>
      <c r="Q39" s="2"/>
      <c r="R39" s="19">
        <f t="shared" si="8"/>
        <v>0</v>
      </c>
      <c r="S39" s="2"/>
      <c r="T39" s="2"/>
      <c r="U39" s="2"/>
      <c r="V39" s="19">
        <f t="shared" si="9"/>
        <v>0</v>
      </c>
      <c r="W39" s="2"/>
      <c r="X39" s="2">
        <f t="shared" si="10"/>
        <v>0</v>
      </c>
      <c r="Y39" s="2"/>
      <c r="Z39" s="19">
        <f t="shared" si="11"/>
        <v>0</v>
      </c>
    </row>
    <row r="40" spans="1:26" s="24" customFormat="1" hidden="1" outlineLevel="1" x14ac:dyDescent="0.3">
      <c r="A40" s="44"/>
      <c r="B40" s="11" t="str">
        <f>CONCATENATE("          ", "5518", " - ", "FREIGHT-IN-STUDY GUIDES")</f>
        <v xml:space="preserve">          5518 - FREIGHT-IN-STUDY GUIDES</v>
      </c>
      <c r="C40" s="11"/>
      <c r="D40" s="2"/>
      <c r="E40" s="2"/>
      <c r="F40" s="19">
        <f t="shared" si="4"/>
        <v>0</v>
      </c>
      <c r="G40" s="2"/>
      <c r="H40" s="2"/>
      <c r="I40" s="2"/>
      <c r="J40" s="19">
        <f t="shared" si="5"/>
        <v>0</v>
      </c>
      <c r="K40" s="2"/>
      <c r="L40" s="2">
        <f t="shared" si="6"/>
        <v>0</v>
      </c>
      <c r="M40" s="2"/>
      <c r="N40" s="19">
        <f t="shared" si="7"/>
        <v>0</v>
      </c>
      <c r="O40" s="11"/>
      <c r="P40" s="2">
        <v>0</v>
      </c>
      <c r="Q40" s="2"/>
      <c r="R40" s="19">
        <f t="shared" si="8"/>
        <v>0</v>
      </c>
      <c r="S40" s="2"/>
      <c r="T40" s="2"/>
      <c r="U40" s="2"/>
      <c r="V40" s="19">
        <f t="shared" si="9"/>
        <v>0</v>
      </c>
      <c r="W40" s="2"/>
      <c r="X40" s="2">
        <f t="shared" si="10"/>
        <v>0</v>
      </c>
      <c r="Y40" s="2"/>
      <c r="Z40" s="19">
        <f t="shared" si="11"/>
        <v>0</v>
      </c>
    </row>
    <row r="41" spans="1:26" s="24" customFormat="1" hidden="1" outlineLevel="1" x14ac:dyDescent="0.3">
      <c r="A41" s="44"/>
      <c r="B41" s="11" t="str">
        <f>CONCATENATE("          ", "5527", " - ", "FREIGHT-IN-SCHOOL SUPPLIES")</f>
        <v xml:space="preserve">          5527 - FREIGHT-IN-SCHOOL SUPPLIES</v>
      </c>
      <c r="C41" s="11"/>
      <c r="D41" s="2">
        <v>0</v>
      </c>
      <c r="E41" s="2"/>
      <c r="F41" s="19">
        <f t="shared" si="4"/>
        <v>0</v>
      </c>
      <c r="G41" s="2"/>
      <c r="H41" s="2"/>
      <c r="I41" s="2"/>
      <c r="J41" s="19">
        <f t="shared" si="5"/>
        <v>0</v>
      </c>
      <c r="K41" s="2"/>
      <c r="L41" s="2">
        <f t="shared" si="6"/>
        <v>0</v>
      </c>
      <c r="M41" s="2"/>
      <c r="N41" s="19">
        <f t="shared" si="7"/>
        <v>0</v>
      </c>
      <c r="O41" s="11"/>
      <c r="P41" s="2">
        <v>0</v>
      </c>
      <c r="Q41" s="2"/>
      <c r="R41" s="19">
        <f t="shared" si="8"/>
        <v>0</v>
      </c>
      <c r="S41" s="2"/>
      <c r="T41" s="2"/>
      <c r="U41" s="2"/>
      <c r="V41" s="19">
        <f t="shared" si="9"/>
        <v>0</v>
      </c>
      <c r="W41" s="2"/>
      <c r="X41" s="2">
        <f t="shared" si="10"/>
        <v>0</v>
      </c>
      <c r="Y41" s="2"/>
      <c r="Z41" s="19">
        <f t="shared" si="11"/>
        <v>0</v>
      </c>
    </row>
    <row r="42" spans="1:26" s="24" customFormat="1" hidden="1" outlineLevel="1" x14ac:dyDescent="0.3">
      <c r="A42" s="44"/>
      <c r="B42" s="11" t="str">
        <f>CONCATENATE("          ", "5528", " - ", "FREIGHT-IN-ART/TECH")</f>
        <v xml:space="preserve">          5528 - FREIGHT-IN-ART/TECH</v>
      </c>
      <c r="C42" s="11"/>
      <c r="D42" s="2">
        <v>0</v>
      </c>
      <c r="E42" s="2"/>
      <c r="F42" s="19">
        <f t="shared" si="4"/>
        <v>0</v>
      </c>
      <c r="G42" s="2"/>
      <c r="H42" s="2"/>
      <c r="I42" s="2"/>
      <c r="J42" s="19">
        <f t="shared" si="5"/>
        <v>0</v>
      </c>
      <c r="K42" s="2"/>
      <c r="L42" s="2">
        <f t="shared" si="6"/>
        <v>0</v>
      </c>
      <c r="M42" s="2"/>
      <c r="N42" s="19">
        <f t="shared" si="7"/>
        <v>0</v>
      </c>
      <c r="O42" s="11"/>
      <c r="P42" s="2">
        <v>0</v>
      </c>
      <c r="Q42" s="2"/>
      <c r="R42" s="19">
        <f t="shared" si="8"/>
        <v>0</v>
      </c>
      <c r="S42" s="2"/>
      <c r="T42" s="2"/>
      <c r="U42" s="2"/>
      <c r="V42" s="19">
        <f t="shared" si="9"/>
        <v>0</v>
      </c>
      <c r="W42" s="2"/>
      <c r="X42" s="2">
        <f t="shared" si="10"/>
        <v>0</v>
      </c>
      <c r="Y42" s="2"/>
      <c r="Z42" s="19">
        <f t="shared" si="11"/>
        <v>0</v>
      </c>
    </row>
    <row r="43" spans="1:26" s="24" customFormat="1" hidden="1" outlineLevel="1" x14ac:dyDescent="0.3">
      <c r="A43" s="44"/>
      <c r="B43" s="11" t="str">
        <f>CONCATENATE("          ", "5540", " - ", "FREIGHT-IN-LOGO CLOTHING")</f>
        <v xml:space="preserve">          5540 - FREIGHT-IN-LOGO CLOTHING</v>
      </c>
      <c r="C43" s="11"/>
      <c r="D43" s="2">
        <v>0</v>
      </c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0</v>
      </c>
      <c r="Q43" s="2"/>
      <c r="R43" s="19">
        <f t="shared" si="8"/>
        <v>0</v>
      </c>
      <c r="S43" s="2"/>
      <c r="T43" s="2"/>
      <c r="U43" s="2"/>
      <c r="V43" s="19">
        <f t="shared" si="9"/>
        <v>0</v>
      </c>
      <c r="W43" s="2"/>
      <c r="X43" s="2">
        <f t="shared" si="10"/>
        <v>0</v>
      </c>
      <c r="Y43" s="2"/>
      <c r="Z43" s="19">
        <f t="shared" si="11"/>
        <v>0</v>
      </c>
    </row>
    <row r="44" spans="1:26" s="24" customFormat="1" hidden="1" outlineLevel="1" x14ac:dyDescent="0.3">
      <c r="A44" s="44"/>
      <c r="B44" s="11" t="str">
        <f>CONCATENATE("          ", "5541", " - ", "FREIGHT-IN-LOGO GIFTS")</f>
        <v xml:space="preserve">          5541 - FREIGHT-IN-LOGO GIFTS</v>
      </c>
      <c r="C44" s="11"/>
      <c r="D44" s="2">
        <v>0</v>
      </c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0</v>
      </c>
      <c r="Q44" s="2"/>
      <c r="R44" s="19">
        <f t="shared" si="8"/>
        <v>0</v>
      </c>
      <c r="S44" s="2"/>
      <c r="T44" s="2"/>
      <c r="U44" s="2"/>
      <c r="V44" s="19">
        <f t="shared" si="9"/>
        <v>0</v>
      </c>
      <c r="W44" s="2"/>
      <c r="X44" s="2">
        <f t="shared" si="10"/>
        <v>0</v>
      </c>
      <c r="Y44" s="2"/>
      <c r="Z44" s="19">
        <f t="shared" si="11"/>
        <v>0</v>
      </c>
    </row>
    <row r="45" spans="1:26" s="24" customFormat="1" hidden="1" outlineLevel="1" x14ac:dyDescent="0.3">
      <c r="A45" s="44"/>
      <c r="B45" s="11" t="str">
        <f>CONCATENATE("          ", "5542", " - ", "FREIGHT-IN-EVERYDAY GIFTS")</f>
        <v xml:space="preserve">          5542 - FREIGHT-IN-EVERYDAY GIFTS</v>
      </c>
      <c r="C45" s="11"/>
      <c r="D45" s="2">
        <v>0</v>
      </c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0</v>
      </c>
      <c r="Q45" s="2"/>
      <c r="R45" s="19">
        <f t="shared" si="8"/>
        <v>0</v>
      </c>
      <c r="S45" s="2"/>
      <c r="T45" s="2"/>
      <c r="U45" s="2"/>
      <c r="V45" s="19">
        <f t="shared" si="9"/>
        <v>0</v>
      </c>
      <c r="W45" s="2"/>
      <c r="X45" s="2">
        <f t="shared" si="10"/>
        <v>0</v>
      </c>
      <c r="Y45" s="2"/>
      <c r="Z45" s="19">
        <f t="shared" si="11"/>
        <v>0</v>
      </c>
    </row>
    <row r="46" spans="1:26" s="24" customFormat="1" hidden="1" outlineLevel="1" x14ac:dyDescent="0.3">
      <c r="A46" s="44"/>
      <c r="B46" s="11" t="str">
        <f>CONCATENATE("          ", "5544", " - ", "FREIGHT-IN-ACCESSORIES")</f>
        <v xml:space="preserve">          5544 - FREIGHT-IN-ACCESSORIES</v>
      </c>
      <c r="C46" s="11"/>
      <c r="D46" s="2">
        <v>0</v>
      </c>
      <c r="E46" s="2"/>
      <c r="F46" s="19">
        <f t="shared" si="4"/>
        <v>0</v>
      </c>
      <c r="G46" s="2"/>
      <c r="H46" s="2"/>
      <c r="I46" s="2"/>
      <c r="J46" s="19">
        <f t="shared" si="5"/>
        <v>0</v>
      </c>
      <c r="K46" s="2"/>
      <c r="L46" s="2">
        <f t="shared" si="6"/>
        <v>0</v>
      </c>
      <c r="M46" s="2"/>
      <c r="N46" s="19">
        <f t="shared" si="7"/>
        <v>0</v>
      </c>
      <c r="O46" s="11"/>
      <c r="P46" s="2">
        <v>0</v>
      </c>
      <c r="Q46" s="2"/>
      <c r="R46" s="19">
        <f t="shared" si="8"/>
        <v>0</v>
      </c>
      <c r="S46" s="2"/>
      <c r="T46" s="2"/>
      <c r="U46" s="2"/>
      <c r="V46" s="19">
        <f t="shared" si="9"/>
        <v>0</v>
      </c>
      <c r="W46" s="2"/>
      <c r="X46" s="2">
        <f t="shared" si="10"/>
        <v>0</v>
      </c>
      <c r="Y46" s="2"/>
      <c r="Z46" s="19">
        <f t="shared" si="11"/>
        <v>0</v>
      </c>
    </row>
    <row r="47" spans="1:26" s="24" customFormat="1" hidden="1" outlineLevel="1" x14ac:dyDescent="0.3">
      <c r="A47" s="44"/>
      <c r="B47" s="11" t="str">
        <f>CONCATENATE("          ", "5545", " - ", "FREIGHT-IN-SPECIAL ORDERS")</f>
        <v xml:space="preserve">          5545 - FREIGHT-IN-SPECIAL ORDERS</v>
      </c>
      <c r="C47" s="11"/>
      <c r="D47" s="2">
        <v>0</v>
      </c>
      <c r="E47" s="2"/>
      <c r="F47" s="19">
        <f t="shared" si="4"/>
        <v>0</v>
      </c>
      <c r="G47" s="2"/>
      <c r="H47" s="2"/>
      <c r="I47" s="2"/>
      <c r="J47" s="19">
        <f t="shared" si="5"/>
        <v>0</v>
      </c>
      <c r="K47" s="2"/>
      <c r="L47" s="2">
        <f t="shared" si="6"/>
        <v>0</v>
      </c>
      <c r="M47" s="2"/>
      <c r="N47" s="19">
        <f t="shared" si="7"/>
        <v>0</v>
      </c>
      <c r="O47" s="11"/>
      <c r="P47" s="2">
        <v>0</v>
      </c>
      <c r="Q47" s="2"/>
      <c r="R47" s="19">
        <f t="shared" si="8"/>
        <v>0</v>
      </c>
      <c r="S47" s="2"/>
      <c r="T47" s="2"/>
      <c r="U47" s="2"/>
      <c r="V47" s="19">
        <f t="shared" si="9"/>
        <v>0</v>
      </c>
      <c r="W47" s="2"/>
      <c r="X47" s="2">
        <f t="shared" si="10"/>
        <v>0</v>
      </c>
      <c r="Y47" s="2"/>
      <c r="Z47" s="19">
        <f t="shared" si="11"/>
        <v>0</v>
      </c>
    </row>
    <row r="48" spans="1:26" x14ac:dyDescent="0.3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3">
      <c r="A49" s="10"/>
      <c r="B49" s="26" t="s">
        <v>108</v>
      </c>
      <c r="C49" s="26"/>
      <c r="D49" s="21">
        <f>D12-D20</f>
        <v>520456.47999999975</v>
      </c>
      <c r="E49" s="13"/>
      <c r="F49" s="20">
        <f>IF(D$12=0,0,D49/D$12)</f>
        <v>0.34403648162511424</v>
      </c>
      <c r="G49" s="13"/>
      <c r="H49" s="21">
        <f>H12-H20</f>
        <v>885819</v>
      </c>
      <c r="I49" s="13"/>
      <c r="J49" s="20">
        <f>IF(H$12=0,0,H49/H$12)</f>
        <v>0.32314512910571191</v>
      </c>
      <c r="K49" s="16"/>
      <c r="L49" s="21">
        <f>+D49-H49</f>
        <v>-365362.52000000025</v>
      </c>
      <c r="M49" s="16"/>
      <c r="N49" s="20">
        <f>IF(H49=0,0,L49/H49)</f>
        <v>-0.41245730786989243</v>
      </c>
      <c r="O49" s="25"/>
      <c r="P49" s="21">
        <f>P12-P20</f>
        <v>613533.26</v>
      </c>
      <c r="Q49" s="13"/>
      <c r="R49" s="20">
        <f>IF(P$12=0,0,P49/P$12)</f>
        <v>0.35396980014921542</v>
      </c>
      <c r="S49" s="13"/>
      <c r="T49" s="21">
        <f>T12-T20</f>
        <v>1012256</v>
      </c>
      <c r="U49" s="13"/>
      <c r="V49" s="20">
        <f>IF(T$12=0,0,T49/T$12)</f>
        <v>0.32956673910743212</v>
      </c>
      <c r="W49" s="16"/>
      <c r="X49" s="21">
        <f>+P49-T49</f>
        <v>-398722.74</v>
      </c>
      <c r="Y49" s="16"/>
      <c r="Z49" s="20">
        <f>IF(T49=0,0,X49/T49)</f>
        <v>-0.3938951609079126</v>
      </c>
    </row>
    <row r="50" spans="1:26" x14ac:dyDescent="0.3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3">
      <c r="A51" s="10"/>
      <c r="B51" s="25" t="s">
        <v>295</v>
      </c>
      <c r="C51" s="10"/>
      <c r="D51" s="22">
        <f>SUM(OSRRefD22x_0)</f>
        <v>339962.49999999994</v>
      </c>
      <c r="E51" s="22"/>
      <c r="F51" s="31">
        <f t="shared" ref="F51:F62" si="12">IF(D$12=0,0,D51/D$12)</f>
        <v>0.22472484612830249</v>
      </c>
      <c r="G51" s="22"/>
      <c r="H51" s="22">
        <f>SUM(OSRRefH22x_0)</f>
        <v>352716.01235172059</v>
      </c>
      <c r="I51" s="22"/>
      <c r="J51" s="31">
        <f t="shared" ref="J51:J62" si="13">IF(H$12=0,0,H51/H$12)</f>
        <v>0.12867014745568636</v>
      </c>
      <c r="K51" s="4"/>
      <c r="L51" s="22">
        <f t="shared" ref="L51:L62" si="14">+D51-H51</f>
        <v>-12753.512351720652</v>
      </c>
      <c r="M51" s="4"/>
      <c r="N51" s="31">
        <f t="shared" ref="N51:N62" si="15">IF(H51=0,0,L51/H51)</f>
        <v>-3.6158019214061456E-2</v>
      </c>
      <c r="O51" s="10"/>
      <c r="P51" s="22">
        <f>SUM(OSRRefP22x_0)</f>
        <v>703392.83000000007</v>
      </c>
      <c r="Q51" s="22"/>
      <c r="R51" s="31">
        <f t="shared" ref="R51:R62" si="16">IF(P$12=0,0,P51/P$12)</f>
        <v>0.40581307598791155</v>
      </c>
      <c r="S51" s="22"/>
      <c r="T51" s="22">
        <f>SUM(OSRRefT22x_0)</f>
        <v>757091.01435824577</v>
      </c>
      <c r="U51" s="22"/>
      <c r="V51" s="31">
        <f t="shared" ref="V51:V62" si="17">IF(T$12=0,0,T51/T$12)</f>
        <v>0.24649102283373486</v>
      </c>
      <c r="W51" s="4"/>
      <c r="X51" s="22">
        <f t="shared" ref="X51:X62" si="18">+P51-T51</f>
        <v>-53698.184358245693</v>
      </c>
      <c r="Y51" s="4"/>
      <c r="Z51" s="31">
        <f t="shared" ref="Z51:Z62" si="19">IF(T51=0,0,X51/T51)</f>
        <v>-7.0926986768907019E-2</v>
      </c>
    </row>
    <row r="52" spans="1:26" s="28" customFormat="1" outlineLevel="1" collapsed="1" x14ac:dyDescent="0.3">
      <c r="A52" s="29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52095.850000000006</v>
      </c>
      <c r="E52" s="1"/>
      <c r="F52" s="5">
        <f t="shared" si="12"/>
        <v>3.4436833107101904E-2</v>
      </c>
      <c r="G52" s="1"/>
      <c r="H52" s="1">
        <f>SUM(OSRRefH22_0x_0)</f>
        <v>51658.255844928281</v>
      </c>
      <c r="I52" s="1"/>
      <c r="J52" s="5">
        <f t="shared" si="13"/>
        <v>1.884483597031137E-2</v>
      </c>
      <c r="K52" s="1"/>
      <c r="L52" s="1">
        <f t="shared" si="14"/>
        <v>437.59415507172525</v>
      </c>
      <c r="M52" s="1"/>
      <c r="N52" s="5">
        <f t="shared" si="15"/>
        <v>8.4709432773984669E-3</v>
      </c>
      <c r="O52" s="14"/>
      <c r="P52" s="1">
        <f>SUM(OSRRefP22_0x_0)</f>
        <v>99522.21</v>
      </c>
      <c r="Q52" s="1"/>
      <c r="R52" s="5">
        <f t="shared" si="16"/>
        <v>5.7418006619736069E-2</v>
      </c>
      <c r="S52" s="1"/>
      <c r="T52" s="1">
        <f>SUM(OSRRefT22_0x_0)</f>
        <v>108351.09034296354</v>
      </c>
      <c r="U52" s="1"/>
      <c r="V52" s="5">
        <f t="shared" si="17"/>
        <v>3.5276565931014754E-2</v>
      </c>
      <c r="W52" s="1"/>
      <c r="X52" s="1">
        <f t="shared" si="18"/>
        <v>-8828.88034296353</v>
      </c>
      <c r="Y52" s="1"/>
      <c r="Z52" s="5">
        <f t="shared" si="19"/>
        <v>-8.148400089946016E-2</v>
      </c>
    </row>
    <row r="53" spans="1:26" s="24" customFormat="1" hidden="1" outlineLevel="2" x14ac:dyDescent="0.3">
      <c r="A53" s="27"/>
      <c r="B53" s="11" t="str">
        <f>CONCATENATE("          ", "6111", " - ", "F.I.C.A.")</f>
        <v xml:space="preserve">          6111 - F.I.C.A.</v>
      </c>
      <c r="C53" s="11"/>
      <c r="D53" s="6">
        <v>12320.03</v>
      </c>
      <c r="E53" s="2"/>
      <c r="F53" s="7">
        <f t="shared" si="12"/>
        <v>8.1438889467105088E-3</v>
      </c>
      <c r="G53" s="2"/>
      <c r="H53" s="6">
        <v>10563.761522787499</v>
      </c>
      <c r="I53" s="2"/>
      <c r="J53" s="7">
        <f t="shared" si="13"/>
        <v>3.853640620852701E-3</v>
      </c>
      <c r="K53" s="2"/>
      <c r="L53" s="6">
        <f t="shared" si="14"/>
        <v>1756.2684772125012</v>
      </c>
      <c r="M53" s="2"/>
      <c r="N53" s="7">
        <f t="shared" si="15"/>
        <v>0.16625408226264729</v>
      </c>
      <c r="O53" s="11"/>
      <c r="P53" s="6">
        <v>21948.04</v>
      </c>
      <c r="Q53" s="2"/>
      <c r="R53" s="7">
        <f t="shared" si="16"/>
        <v>1.2662627829609412E-2</v>
      </c>
      <c r="S53" s="2"/>
      <c r="T53" s="6">
        <v>23075.9099743968</v>
      </c>
      <c r="U53" s="2"/>
      <c r="V53" s="7">
        <f t="shared" si="17"/>
        <v>7.5129734002056994E-3</v>
      </c>
      <c r="W53" s="2"/>
      <c r="X53" s="6">
        <f t="shared" si="18"/>
        <v>-1127.8699743967991</v>
      </c>
      <c r="Y53" s="2"/>
      <c r="Z53" s="7">
        <f t="shared" si="19"/>
        <v>-4.8876511290267391E-2</v>
      </c>
    </row>
    <row r="54" spans="1:26" s="24" customFormat="1" hidden="1" outlineLevel="2" x14ac:dyDescent="0.3">
      <c r="A54" s="27"/>
      <c r="B54" s="11" t="str">
        <f>CONCATENATE("          ", "6112", " - ", "COMPENSATION INSURANCE")</f>
        <v xml:space="preserve">          6112 - COMPENSATION INSURANCE</v>
      </c>
      <c r="C54" s="11"/>
      <c r="D54" s="6">
        <v>2539.5500000000002</v>
      </c>
      <c r="E54" s="2"/>
      <c r="F54" s="7">
        <f t="shared" si="12"/>
        <v>1.678714514057082E-3</v>
      </c>
      <c r="G54" s="2"/>
      <c r="H54" s="6">
        <v>3363.44977548</v>
      </c>
      <c r="I54" s="2"/>
      <c r="J54" s="7">
        <f t="shared" si="13"/>
        <v>1.2269802430723007E-3</v>
      </c>
      <c r="K54" s="2"/>
      <c r="L54" s="6">
        <f t="shared" si="14"/>
        <v>-823.89977547999979</v>
      </c>
      <c r="M54" s="2"/>
      <c r="N54" s="7">
        <f t="shared" si="15"/>
        <v>-0.2449567647735785</v>
      </c>
      <c r="O54" s="11"/>
      <c r="P54" s="6">
        <v>4512.96</v>
      </c>
      <c r="Q54" s="2"/>
      <c r="R54" s="7">
        <f t="shared" si="16"/>
        <v>2.60369185084017E-3</v>
      </c>
      <c r="S54" s="2"/>
      <c r="T54" s="6">
        <v>6514.7025198299998</v>
      </c>
      <c r="U54" s="2"/>
      <c r="V54" s="7">
        <f t="shared" si="17"/>
        <v>2.121033874548873E-3</v>
      </c>
      <c r="W54" s="2"/>
      <c r="X54" s="6">
        <f t="shared" si="18"/>
        <v>-2001.7425198299998</v>
      </c>
      <c r="Y54" s="2"/>
      <c r="Z54" s="7">
        <f t="shared" si="19"/>
        <v>-0.30726537608385457</v>
      </c>
    </row>
    <row r="55" spans="1:26" s="24" customFormat="1" hidden="1" outlineLevel="2" x14ac:dyDescent="0.3">
      <c r="A55" s="27"/>
      <c r="B55" s="11" t="str">
        <f>CONCATENATE("          ", "6113", " - ", "GROUP INSURANCE")</f>
        <v xml:space="preserve">          6113 - GROUP INSURANCE</v>
      </c>
      <c r="C55" s="11"/>
      <c r="D55" s="6">
        <v>17896.5</v>
      </c>
      <c r="E55" s="2"/>
      <c r="F55" s="7">
        <f t="shared" si="12"/>
        <v>1.1830093638960669E-2</v>
      </c>
      <c r="G55" s="2"/>
      <c r="H55" s="6">
        <v>17692.9230769231</v>
      </c>
      <c r="I55" s="2"/>
      <c r="J55" s="7">
        <f t="shared" si="13"/>
        <v>6.4543455400592501E-3</v>
      </c>
      <c r="K55" s="2"/>
      <c r="L55" s="6">
        <f t="shared" si="14"/>
        <v>203.57692307690013</v>
      </c>
      <c r="M55" s="2"/>
      <c r="N55" s="7">
        <f t="shared" si="15"/>
        <v>1.1506121526206472E-2</v>
      </c>
      <c r="O55" s="11"/>
      <c r="P55" s="6">
        <v>35793</v>
      </c>
      <c r="Q55" s="2"/>
      <c r="R55" s="7">
        <f t="shared" si="16"/>
        <v>2.0650292140218882E-2</v>
      </c>
      <c r="S55" s="2"/>
      <c r="T55" s="6">
        <v>36454.0769230769</v>
      </c>
      <c r="U55" s="2"/>
      <c r="V55" s="7">
        <f t="shared" si="17"/>
        <v>1.1868589821853312E-2</v>
      </c>
      <c r="W55" s="2"/>
      <c r="X55" s="6">
        <f t="shared" si="18"/>
        <v>-661.07692307690013</v>
      </c>
      <c r="Y55" s="2"/>
      <c r="Z55" s="7">
        <f t="shared" si="19"/>
        <v>-1.8134512758939503E-2</v>
      </c>
    </row>
    <row r="56" spans="1:26" s="24" customFormat="1" hidden="1" outlineLevel="2" x14ac:dyDescent="0.3">
      <c r="A56" s="27"/>
      <c r="B56" s="11" t="str">
        <f>CONCATENATE("          ", "6114", " - ", "STATE UNEMPLOYMENT INSURANCE")</f>
        <v xml:space="preserve">          6114 - STATE UNEMPLOYMENT INSURANCE</v>
      </c>
      <c r="C56" s="11"/>
      <c r="D56" s="6">
        <v>460.58</v>
      </c>
      <c r="E56" s="2"/>
      <c r="F56" s="7">
        <f t="shared" si="12"/>
        <v>3.0445643160576115E-4</v>
      </c>
      <c r="G56" s="2"/>
      <c r="H56" s="6">
        <v>452.772085160769</v>
      </c>
      <c r="I56" s="2"/>
      <c r="J56" s="7">
        <f t="shared" si="13"/>
        <v>1.6517041733665579E-4</v>
      </c>
      <c r="K56" s="2"/>
      <c r="L56" s="6">
        <f t="shared" si="14"/>
        <v>7.8079148392309889</v>
      </c>
      <c r="M56" s="2"/>
      <c r="N56" s="7">
        <f t="shared" si="15"/>
        <v>1.7244691303039534E-2</v>
      </c>
      <c r="O56" s="11"/>
      <c r="P56" s="6">
        <v>818.11</v>
      </c>
      <c r="Q56" s="2"/>
      <c r="R56" s="7">
        <f t="shared" si="16"/>
        <v>4.7199761134396307E-4</v>
      </c>
      <c r="S56" s="2"/>
      <c r="T56" s="6">
        <v>876.97918536172995</v>
      </c>
      <c r="U56" s="2"/>
      <c r="V56" s="7">
        <f t="shared" si="17"/>
        <v>2.8552379080465574E-4</v>
      </c>
      <c r="W56" s="2"/>
      <c r="X56" s="6">
        <f t="shared" si="18"/>
        <v>-58.869185361729933</v>
      </c>
      <c r="Y56" s="2"/>
      <c r="Z56" s="7">
        <f t="shared" si="19"/>
        <v>-6.7127232144566812E-2</v>
      </c>
    </row>
    <row r="57" spans="1:26" s="24" customFormat="1" hidden="1" outlineLevel="2" x14ac:dyDescent="0.3">
      <c r="A57" s="27"/>
      <c r="B57" s="11" t="str">
        <f>CONCATENATE("          ", "6115", " - ", "P.E.R.S.")</f>
        <v xml:space="preserve">          6115 - P.E.R.S.</v>
      </c>
      <c r="C57" s="11"/>
      <c r="D57" s="6">
        <v>6296.23</v>
      </c>
      <c r="E57" s="2"/>
      <c r="F57" s="7">
        <f t="shared" si="12"/>
        <v>4.1619864483241594E-3</v>
      </c>
      <c r="G57" s="2"/>
      <c r="H57" s="6">
        <v>4876.5413201076799</v>
      </c>
      <c r="I57" s="2"/>
      <c r="J57" s="7">
        <f t="shared" si="13"/>
        <v>1.7789532336465294E-3</v>
      </c>
      <c r="K57" s="2"/>
      <c r="L57" s="6">
        <f t="shared" si="14"/>
        <v>1419.6886798923197</v>
      </c>
      <c r="M57" s="2"/>
      <c r="N57" s="7">
        <f t="shared" si="15"/>
        <v>0.29112614590969388</v>
      </c>
      <c r="O57" s="11"/>
      <c r="P57" s="6">
        <v>12592.46</v>
      </c>
      <c r="Q57" s="2"/>
      <c r="R57" s="7">
        <f t="shared" si="16"/>
        <v>7.2650512045377771E-3</v>
      </c>
      <c r="S57" s="2"/>
      <c r="T57" s="6">
        <v>10972.2179702423</v>
      </c>
      <c r="U57" s="2"/>
      <c r="V57" s="7">
        <f t="shared" si="17"/>
        <v>3.5722960369992591E-3</v>
      </c>
      <c r="W57" s="2"/>
      <c r="X57" s="6">
        <f t="shared" si="18"/>
        <v>1620.2420297576991</v>
      </c>
      <c r="Y57" s="2"/>
      <c r="Z57" s="7">
        <f t="shared" si="19"/>
        <v>0.14766768525305912</v>
      </c>
    </row>
    <row r="58" spans="1:26" s="24" customFormat="1" hidden="1" outlineLevel="2" x14ac:dyDescent="0.3">
      <c r="A58" s="27"/>
      <c r="B58" s="11" t="str">
        <f>CONCATENATE("          ", "6116", " - ", "EDUCATIONAL BENEFITS")</f>
        <v xml:space="preserve">          6116 - EDUCATIONAL BENEFITS</v>
      </c>
      <c r="C58" s="11"/>
      <c r="D58" s="6"/>
      <c r="E58" s="2"/>
      <c r="F58" s="7">
        <f t="shared" si="12"/>
        <v>0</v>
      </c>
      <c r="G58" s="2"/>
      <c r="H58" s="6">
        <v>0</v>
      </c>
      <c r="I58" s="2"/>
      <c r="J58" s="7">
        <f t="shared" si="13"/>
        <v>0</v>
      </c>
      <c r="K58" s="2"/>
      <c r="L58" s="6">
        <f t="shared" si="14"/>
        <v>0</v>
      </c>
      <c r="M58" s="2"/>
      <c r="N58" s="7">
        <f t="shared" si="15"/>
        <v>0</v>
      </c>
      <c r="O58" s="11"/>
      <c r="P58" s="6"/>
      <c r="Q58" s="2"/>
      <c r="R58" s="7">
        <f t="shared" si="16"/>
        <v>0</v>
      </c>
      <c r="S58" s="2"/>
      <c r="T58" s="6">
        <v>0</v>
      </c>
      <c r="U58" s="2"/>
      <c r="V58" s="7">
        <f t="shared" si="17"/>
        <v>0</v>
      </c>
      <c r="W58" s="2"/>
      <c r="X58" s="6">
        <f t="shared" si="18"/>
        <v>0</v>
      </c>
      <c r="Y58" s="2"/>
      <c r="Z58" s="7">
        <f t="shared" si="19"/>
        <v>0</v>
      </c>
    </row>
    <row r="59" spans="1:26" s="24" customFormat="1" hidden="1" outlineLevel="2" x14ac:dyDescent="0.3">
      <c r="A59" s="27"/>
      <c r="B59" s="11" t="str">
        <f>CONCATENATE("          ", "6117", " - ", "RETIREMENT STAFF HOURLY")</f>
        <v xml:space="preserve">          6117 - RETIREMENT STAFF HOURLY</v>
      </c>
      <c r="C59" s="11"/>
      <c r="D59" s="6">
        <v>962.68</v>
      </c>
      <c r="E59" s="2"/>
      <c r="F59" s="7">
        <f t="shared" si="12"/>
        <v>6.3635875977731155E-4</v>
      </c>
      <c r="G59" s="2"/>
      <c r="H59" s="6"/>
      <c r="I59" s="2"/>
      <c r="J59" s="7">
        <f t="shared" si="13"/>
        <v>0</v>
      </c>
      <c r="K59" s="2"/>
      <c r="L59" s="6">
        <f t="shared" si="14"/>
        <v>962.68</v>
      </c>
      <c r="M59" s="2"/>
      <c r="N59" s="7">
        <f t="shared" si="15"/>
        <v>0</v>
      </c>
      <c r="O59" s="11"/>
      <c r="P59" s="6">
        <v>1515.53</v>
      </c>
      <c r="Q59" s="2"/>
      <c r="R59" s="7">
        <f t="shared" si="16"/>
        <v>8.7436474302980812E-4</v>
      </c>
      <c r="S59" s="2"/>
      <c r="T59" s="6"/>
      <c r="U59" s="2"/>
      <c r="V59" s="7">
        <f t="shared" si="17"/>
        <v>0</v>
      </c>
      <c r="W59" s="2"/>
      <c r="X59" s="6">
        <f t="shared" si="18"/>
        <v>1515.53</v>
      </c>
      <c r="Y59" s="2"/>
      <c r="Z59" s="7">
        <f t="shared" si="19"/>
        <v>0</v>
      </c>
    </row>
    <row r="60" spans="1:26" s="24" customFormat="1" hidden="1" outlineLevel="2" x14ac:dyDescent="0.3">
      <c r="A60" s="27"/>
      <c r="B60" s="11" t="str">
        <f>CONCATENATE("          ", "6118", " - ", "VACATION")</f>
        <v xml:space="preserve">          6118 - VACATION</v>
      </c>
      <c r="C60" s="11"/>
      <c r="D60" s="6">
        <v>5549.94</v>
      </c>
      <c r="E60" s="2"/>
      <c r="F60" s="7">
        <f t="shared" si="12"/>
        <v>3.6686676104608928E-3</v>
      </c>
      <c r="G60" s="2"/>
      <c r="H60" s="6">
        <v>4561.7222342076902</v>
      </c>
      <c r="I60" s="2"/>
      <c r="J60" s="7">
        <f t="shared" si="13"/>
        <v>1.6641078147086941E-3</v>
      </c>
      <c r="K60" s="2"/>
      <c r="L60" s="6">
        <f t="shared" si="14"/>
        <v>988.21776579230936</v>
      </c>
      <c r="M60" s="2"/>
      <c r="N60" s="7">
        <f t="shared" si="15"/>
        <v>0.21663260388407876</v>
      </c>
      <c r="O60" s="11"/>
      <c r="P60" s="6">
        <v>10950.73</v>
      </c>
      <c r="Q60" s="2"/>
      <c r="R60" s="7">
        <f t="shared" si="16"/>
        <v>6.3178770611197477E-3</v>
      </c>
      <c r="S60" s="2"/>
      <c r="T60" s="6">
        <v>10263.8750269673</v>
      </c>
      <c r="U60" s="2"/>
      <c r="V60" s="7">
        <f t="shared" si="17"/>
        <v>3.3416762392555043E-3</v>
      </c>
      <c r="W60" s="2"/>
      <c r="X60" s="6">
        <f t="shared" si="18"/>
        <v>686.85497303269949</v>
      </c>
      <c r="Y60" s="2"/>
      <c r="Z60" s="7">
        <f t="shared" si="19"/>
        <v>6.6919654733524819E-2</v>
      </c>
    </row>
    <row r="61" spans="1:26" s="24" customFormat="1" hidden="1" outlineLevel="2" x14ac:dyDescent="0.3">
      <c r="A61" s="27"/>
      <c r="B61" s="11" t="str">
        <f>CONCATENATE("          ", "6119", " - ", "SICK LEAVE")</f>
        <v xml:space="preserve">          6119 - SICK LEAVE</v>
      </c>
      <c r="C61" s="11"/>
      <c r="D61" s="6">
        <v>3886.05</v>
      </c>
      <c r="E61" s="2"/>
      <c r="F61" s="7">
        <f t="shared" si="12"/>
        <v>2.5687891702669855E-3</v>
      </c>
      <c r="G61" s="2"/>
      <c r="H61" s="6">
        <v>7697.0858302615397</v>
      </c>
      <c r="I61" s="2"/>
      <c r="J61" s="7">
        <f t="shared" si="13"/>
        <v>2.8078826423429742E-3</v>
      </c>
      <c r="K61" s="2"/>
      <c r="L61" s="6">
        <f t="shared" si="14"/>
        <v>-3811.0358302615396</v>
      </c>
      <c r="M61" s="2"/>
      <c r="N61" s="7">
        <f t="shared" si="15"/>
        <v>-0.49512710580389152</v>
      </c>
      <c r="O61" s="11"/>
      <c r="P61" s="6">
        <v>7772.1</v>
      </c>
      <c r="Q61" s="2"/>
      <c r="R61" s="7">
        <f t="shared" si="16"/>
        <v>4.4840090392812889E-3</v>
      </c>
      <c r="S61" s="2"/>
      <c r="T61" s="6">
        <v>15293.328743088499</v>
      </c>
      <c r="U61" s="2"/>
      <c r="V61" s="7">
        <f t="shared" si="17"/>
        <v>4.979148045511847E-3</v>
      </c>
      <c r="W61" s="2"/>
      <c r="X61" s="6">
        <f t="shared" si="18"/>
        <v>-7521.228743088499</v>
      </c>
      <c r="Y61" s="2"/>
      <c r="Z61" s="7">
        <f t="shared" si="19"/>
        <v>-0.49179801660168726</v>
      </c>
    </row>
    <row r="62" spans="1:26" s="24" customFormat="1" hidden="1" outlineLevel="2" x14ac:dyDescent="0.3">
      <c r="A62" s="27"/>
      <c r="B62" s="11" t="str">
        <f>CONCATENATE("          ", "6156", " - ", "EMPLOYEE MEALS")</f>
        <v xml:space="preserve">          6156 - EMPLOYEE MEALS</v>
      </c>
      <c r="C62" s="11"/>
      <c r="D62" s="6">
        <v>2184.29</v>
      </c>
      <c r="E62" s="2"/>
      <c r="F62" s="7">
        <f t="shared" si="12"/>
        <v>1.4438775869385298E-3</v>
      </c>
      <c r="G62" s="2"/>
      <c r="H62" s="6">
        <v>2450</v>
      </c>
      <c r="I62" s="2"/>
      <c r="J62" s="7">
        <f t="shared" si="13"/>
        <v>8.9375545829226317E-4</v>
      </c>
      <c r="K62" s="2"/>
      <c r="L62" s="6">
        <f t="shared" si="14"/>
        <v>-265.71000000000004</v>
      </c>
      <c r="M62" s="2"/>
      <c r="N62" s="7">
        <f t="shared" si="15"/>
        <v>-0.10845306122448981</v>
      </c>
      <c r="O62" s="11"/>
      <c r="P62" s="6">
        <v>3619.28</v>
      </c>
      <c r="Q62" s="2"/>
      <c r="R62" s="7">
        <f t="shared" si="16"/>
        <v>2.0880951397550191E-3</v>
      </c>
      <c r="S62" s="2"/>
      <c r="T62" s="6">
        <v>4900</v>
      </c>
      <c r="U62" s="2"/>
      <c r="V62" s="7">
        <f t="shared" si="17"/>
        <v>1.5953247218356002E-3</v>
      </c>
      <c r="W62" s="2"/>
      <c r="X62" s="6">
        <f t="shared" si="18"/>
        <v>-1280.7199999999998</v>
      </c>
      <c r="Y62" s="2"/>
      <c r="Z62" s="7">
        <f t="shared" si="19"/>
        <v>-0.26137142857142853</v>
      </c>
    </row>
    <row r="63" spans="1:26" s="28" customFormat="1" outlineLevel="1" collapsed="1" x14ac:dyDescent="0.3">
      <c r="A63" s="29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SUM(OSRRefD22_1x_0)</f>
        <v>186593.31999999998</v>
      </c>
      <c r="E63" s="1"/>
      <c r="F63" s="5">
        <f t="shared" ref="F63:F73" si="20">IF(D$12=0,0,D63/D$12)</f>
        <v>0.12334347207579986</v>
      </c>
      <c r="G63" s="1"/>
      <c r="H63" s="1">
        <f>SUM(OSRRefH22_1x_0)</f>
        <v>208147.7565067923</v>
      </c>
      <c r="I63" s="1"/>
      <c r="J63" s="5">
        <f t="shared" ref="J63:J73" si="21">IF(H$12=0,0,H63/H$12)</f>
        <v>7.5931915718054924E-2</v>
      </c>
      <c r="K63" s="1"/>
      <c r="L63" s="1">
        <f t="shared" ref="L63:L73" si="22">+D63-H63</f>
        <v>-21554.436506792321</v>
      </c>
      <c r="M63" s="1"/>
      <c r="N63" s="5">
        <f t="shared" ref="N63:N73" si="23">IF(H63=0,0,L63/H63)</f>
        <v>-0.1035535374895523</v>
      </c>
      <c r="O63" s="14"/>
      <c r="P63" s="1">
        <f>SUM(OSRRefP22_1x_0)</f>
        <v>352865.91000000003</v>
      </c>
      <c r="Q63" s="1"/>
      <c r="R63" s="5">
        <f t="shared" ref="R63:R73" si="24">IF(P$12=0,0,P63/P$12)</f>
        <v>0.20358126247657879</v>
      </c>
      <c r="S63" s="1"/>
      <c r="T63" s="1">
        <f>SUM(OSRRefT22_1x_0)</f>
        <v>400332.9240152823</v>
      </c>
      <c r="U63" s="1"/>
      <c r="V63" s="5">
        <f t="shared" ref="V63:V73" si="25">IF(T$12=0,0,T63/T$12)</f>
        <v>0.13033898176455361</v>
      </c>
      <c r="W63" s="1"/>
      <c r="X63" s="1">
        <f t="shared" ref="X63:X73" si="26">+P63-T63</f>
        <v>-47467.014015282271</v>
      </c>
      <c r="Y63" s="1"/>
      <c r="Z63" s="5">
        <f t="shared" ref="Z63:Z73" si="27">IF(T63=0,0,X63/T63)</f>
        <v>-0.11856884899496867</v>
      </c>
    </row>
    <row r="64" spans="1:26" s="24" customFormat="1" hidden="1" outlineLevel="2" x14ac:dyDescent="0.3">
      <c r="A64" s="27"/>
      <c r="B64" s="11" t="str">
        <f>CONCATENATE("          ", "6001", " - ", "ADMINISTRATIVE SALARIES")</f>
        <v xml:space="preserve">          6001 - ADMINISTRATIVE SALARIES</v>
      </c>
      <c r="C64" s="11"/>
      <c r="D64" s="6">
        <v>4479.1000000000004</v>
      </c>
      <c r="E64" s="2"/>
      <c r="F64" s="7">
        <f t="shared" si="20"/>
        <v>2.960812025718366E-3</v>
      </c>
      <c r="G64" s="2"/>
      <c r="H64" s="6">
        <v>4139.8076923076896</v>
      </c>
      <c r="I64" s="2"/>
      <c r="J64" s="7">
        <f t="shared" si="21"/>
        <v>1.5101941719511409E-3</v>
      </c>
      <c r="K64" s="2"/>
      <c r="L64" s="6">
        <f t="shared" si="22"/>
        <v>339.29230769231071</v>
      </c>
      <c r="M64" s="2"/>
      <c r="N64" s="7">
        <f t="shared" si="23"/>
        <v>8.1958470757653959E-2</v>
      </c>
      <c r="O64" s="11"/>
      <c r="P64" s="6">
        <v>10078.200000000001</v>
      </c>
      <c r="Q64" s="2"/>
      <c r="R64" s="7">
        <f t="shared" si="24"/>
        <v>5.8144825593706576E-3</v>
      </c>
      <c r="S64" s="2"/>
      <c r="T64" s="6">
        <v>9314.5673076923104</v>
      </c>
      <c r="U64" s="2"/>
      <c r="V64" s="7">
        <f t="shared" si="25"/>
        <v>3.0326039794210634E-3</v>
      </c>
      <c r="W64" s="2"/>
      <c r="X64" s="6">
        <f t="shared" si="26"/>
        <v>763.63269230769038</v>
      </c>
      <c r="Y64" s="2"/>
      <c r="Z64" s="7">
        <f t="shared" si="27"/>
        <v>8.1982626469085107E-2</v>
      </c>
    </row>
    <row r="65" spans="1:26" s="24" customFormat="1" hidden="1" outlineLevel="2" x14ac:dyDescent="0.3">
      <c r="A65" s="27"/>
      <c r="B65" s="11" t="str">
        <f>CONCATENATE("          ", "6002", " - ", "STAFF SALARIES")</f>
        <v xml:space="preserve">          6002 - STAFF SALARIES</v>
      </c>
      <c r="C65" s="11"/>
      <c r="D65" s="6">
        <v>58749.01</v>
      </c>
      <c r="E65" s="2"/>
      <c r="F65" s="7">
        <f t="shared" si="20"/>
        <v>3.8834760399867947E-2</v>
      </c>
      <c r="G65" s="2"/>
      <c r="H65" s="6">
        <v>46599.981546484603</v>
      </c>
      <c r="I65" s="2"/>
      <c r="J65" s="7">
        <f t="shared" si="21"/>
        <v>1.6999586883056878E-2</v>
      </c>
      <c r="K65" s="2"/>
      <c r="L65" s="6">
        <f t="shared" si="22"/>
        <v>12149.028453515399</v>
      </c>
      <c r="M65" s="2"/>
      <c r="N65" s="7">
        <f t="shared" si="23"/>
        <v>0.26070886833713552</v>
      </c>
      <c r="O65" s="11"/>
      <c r="P65" s="6">
        <v>127285.75</v>
      </c>
      <c r="Q65" s="2"/>
      <c r="R65" s="7">
        <f t="shared" si="24"/>
        <v>7.3435809314303518E-2</v>
      </c>
      <c r="S65" s="2"/>
      <c r="T65" s="6">
        <v>104849.95847959</v>
      </c>
      <c r="U65" s="2"/>
      <c r="V65" s="7">
        <f t="shared" si="25"/>
        <v>3.4136679764474723E-2</v>
      </c>
      <c r="W65" s="2"/>
      <c r="X65" s="6">
        <f t="shared" si="26"/>
        <v>22435.791520409999</v>
      </c>
      <c r="Y65" s="2"/>
      <c r="Z65" s="7">
        <f t="shared" si="27"/>
        <v>0.21397997524984552</v>
      </c>
    </row>
    <row r="66" spans="1:26" s="24" customFormat="1" hidden="1" outlineLevel="2" x14ac:dyDescent="0.3">
      <c r="A66" s="27"/>
      <c r="B66" s="11" t="str">
        <f>CONCATENATE("          ", "6003", " - ", "STAFF HOURLY-9 MONTH")</f>
        <v xml:space="preserve">          6003 - STAFF HOURLY-9 MONTH</v>
      </c>
      <c r="C66" s="11"/>
      <c r="D66" s="6"/>
      <c r="E66" s="2"/>
      <c r="F66" s="7">
        <f t="shared" si="20"/>
        <v>0</v>
      </c>
      <c r="G66" s="2"/>
      <c r="H66" s="6">
        <v>0</v>
      </c>
      <c r="I66" s="2"/>
      <c r="J66" s="7">
        <f t="shared" si="21"/>
        <v>0</v>
      </c>
      <c r="K66" s="2"/>
      <c r="L66" s="6">
        <f t="shared" si="22"/>
        <v>0</v>
      </c>
      <c r="M66" s="2"/>
      <c r="N66" s="7">
        <f t="shared" si="23"/>
        <v>0</v>
      </c>
      <c r="O66" s="11"/>
      <c r="P66" s="6"/>
      <c r="Q66" s="2"/>
      <c r="R66" s="7">
        <f t="shared" si="24"/>
        <v>0</v>
      </c>
      <c r="S66" s="2"/>
      <c r="T66" s="6">
        <v>0</v>
      </c>
      <c r="U66" s="2"/>
      <c r="V66" s="7">
        <f t="shared" si="25"/>
        <v>0</v>
      </c>
      <c r="W66" s="2"/>
      <c r="X66" s="6">
        <f t="shared" si="26"/>
        <v>0</v>
      </c>
      <c r="Y66" s="2"/>
      <c r="Z66" s="7">
        <f t="shared" si="27"/>
        <v>0</v>
      </c>
    </row>
    <row r="67" spans="1:26" s="24" customFormat="1" hidden="1" outlineLevel="2" x14ac:dyDescent="0.3">
      <c r="A67" s="27"/>
      <c r="B67" s="11" t="str">
        <f>CONCATENATE("          ", "6004", " - ", "STAFF HOURLY")</f>
        <v xml:space="preserve">          6004 - STAFF HOURLY</v>
      </c>
      <c r="C67" s="11"/>
      <c r="D67" s="6">
        <v>19678.82</v>
      </c>
      <c r="E67" s="2"/>
      <c r="F67" s="7">
        <f t="shared" si="20"/>
        <v>1.3008257665144133E-2</v>
      </c>
      <c r="G67" s="2"/>
      <c r="H67" s="6">
        <v>33498.414768000002</v>
      </c>
      <c r="I67" s="2"/>
      <c r="J67" s="7">
        <f t="shared" si="21"/>
        <v>1.2220159609403329E-2</v>
      </c>
      <c r="K67" s="2"/>
      <c r="L67" s="6">
        <f t="shared" si="22"/>
        <v>-13819.594768000003</v>
      </c>
      <c r="M67" s="2"/>
      <c r="N67" s="7">
        <f t="shared" si="23"/>
        <v>-0.41254473872003738</v>
      </c>
      <c r="O67" s="11"/>
      <c r="P67" s="6">
        <v>37763.199999999997</v>
      </c>
      <c r="Q67" s="2"/>
      <c r="R67" s="7">
        <f t="shared" si="24"/>
        <v>2.1786972652460358E-2</v>
      </c>
      <c r="S67" s="2"/>
      <c r="T67" s="6">
        <v>75371.433227999994</v>
      </c>
      <c r="U67" s="2"/>
      <c r="V67" s="7">
        <f t="shared" si="25"/>
        <v>2.4539165458940734E-2</v>
      </c>
      <c r="W67" s="2"/>
      <c r="X67" s="6">
        <f t="shared" si="26"/>
        <v>-37608.233227999997</v>
      </c>
      <c r="Y67" s="2"/>
      <c r="Z67" s="7">
        <f t="shared" si="27"/>
        <v>-0.49897197940013144</v>
      </c>
    </row>
    <row r="68" spans="1:26" s="24" customFormat="1" hidden="1" outlineLevel="2" x14ac:dyDescent="0.3">
      <c r="A68" s="27"/>
      <c r="B68" s="11" t="str">
        <f>CONCATENATE("          ", "6005", " - ", "TEMPORARY WAGES-HOURLY")</f>
        <v xml:space="preserve">          6005 - TEMPORARY WAGES-HOURLY</v>
      </c>
      <c r="C68" s="11"/>
      <c r="D68" s="6">
        <v>9622.7900000000009</v>
      </c>
      <c r="E68" s="2"/>
      <c r="F68" s="7">
        <f t="shared" si="20"/>
        <v>6.3609368741404373E-3</v>
      </c>
      <c r="G68" s="2"/>
      <c r="H68" s="6">
        <v>4181</v>
      </c>
      <c r="I68" s="2"/>
      <c r="J68" s="7">
        <f t="shared" si="21"/>
        <v>1.5252210494367151E-3</v>
      </c>
      <c r="K68" s="2"/>
      <c r="L68" s="6">
        <f t="shared" si="22"/>
        <v>5441.7900000000009</v>
      </c>
      <c r="M68" s="2"/>
      <c r="N68" s="7">
        <f t="shared" si="23"/>
        <v>1.3015522602248268</v>
      </c>
      <c r="O68" s="11"/>
      <c r="P68" s="6">
        <v>19070.59</v>
      </c>
      <c r="Q68" s="2"/>
      <c r="R68" s="7">
        <f t="shared" si="24"/>
        <v>1.1002521576462906E-2</v>
      </c>
      <c r="S68" s="2"/>
      <c r="T68" s="6">
        <v>8191</v>
      </c>
      <c r="U68" s="2"/>
      <c r="V68" s="7">
        <f t="shared" si="25"/>
        <v>2.6667968972562042E-3</v>
      </c>
      <c r="W68" s="2"/>
      <c r="X68" s="6">
        <f t="shared" si="26"/>
        <v>10879.59</v>
      </c>
      <c r="Y68" s="2"/>
      <c r="Z68" s="7">
        <f t="shared" si="27"/>
        <v>1.328237089488463</v>
      </c>
    </row>
    <row r="69" spans="1:26" s="24" customFormat="1" hidden="1" outlineLevel="2" x14ac:dyDescent="0.3">
      <c r="A69" s="27"/>
      <c r="B69" s="11" t="str">
        <f>CONCATENATE("          ", "6006", " - ", "TEMPORARY PART TIME")</f>
        <v xml:space="preserve">          6006 - TEMPORARY PART TIME</v>
      </c>
      <c r="C69" s="11"/>
      <c r="D69" s="6">
        <v>3273.79</v>
      </c>
      <c r="E69" s="2"/>
      <c r="F69" s="7">
        <f t="shared" si="20"/>
        <v>2.1640679604555666E-3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3273.79</v>
      </c>
      <c r="M69" s="2"/>
      <c r="N69" s="7">
        <f t="shared" si="23"/>
        <v>0</v>
      </c>
      <c r="O69" s="11"/>
      <c r="P69" s="6">
        <v>6138.19</v>
      </c>
      <c r="Q69" s="2"/>
      <c r="R69" s="7">
        <f t="shared" si="24"/>
        <v>3.5413465401662376E-3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6138.19</v>
      </c>
      <c r="Y69" s="2"/>
      <c r="Z69" s="7">
        <f t="shared" si="27"/>
        <v>0</v>
      </c>
    </row>
    <row r="70" spans="1:26" s="24" customFormat="1" hidden="1" outlineLevel="2" x14ac:dyDescent="0.3">
      <c r="A70" s="27"/>
      <c r="B70" s="11" t="str">
        <f>CONCATENATE("          ", "6007", " - ", "STUDENT HOURLY")</f>
        <v xml:space="preserve">          6007 - STUDENT HOURLY</v>
      </c>
      <c r="C70" s="11"/>
      <c r="D70" s="6">
        <v>76510.509999999995</v>
      </c>
      <c r="E70" s="2"/>
      <c r="F70" s="7">
        <f t="shared" si="20"/>
        <v>5.0575615213289557E-2</v>
      </c>
      <c r="G70" s="2"/>
      <c r="H70" s="6">
        <v>45942.8675</v>
      </c>
      <c r="I70" s="2"/>
      <c r="J70" s="7">
        <f t="shared" si="21"/>
        <v>1.6759872897029886E-2</v>
      </c>
      <c r="K70" s="2"/>
      <c r="L70" s="6">
        <f t="shared" si="22"/>
        <v>30567.642499999994</v>
      </c>
      <c r="M70" s="2"/>
      <c r="N70" s="7">
        <f t="shared" si="23"/>
        <v>0.6653403273097831</v>
      </c>
      <c r="O70" s="11"/>
      <c r="P70" s="6">
        <v>128466.33</v>
      </c>
      <c r="Q70" s="2"/>
      <c r="R70" s="7">
        <f t="shared" si="24"/>
        <v>7.4116929139266485E-2</v>
      </c>
      <c r="S70" s="2"/>
      <c r="T70" s="6">
        <v>94320.28</v>
      </c>
      <c r="U70" s="2"/>
      <c r="V70" s="7">
        <f t="shared" si="25"/>
        <v>3.0708464174378759E-2</v>
      </c>
      <c r="W70" s="2"/>
      <c r="X70" s="6">
        <f t="shared" si="26"/>
        <v>34146.050000000003</v>
      </c>
      <c r="Y70" s="2"/>
      <c r="Z70" s="7">
        <f t="shared" si="27"/>
        <v>0.36202235616772982</v>
      </c>
    </row>
    <row r="71" spans="1:26" s="24" customFormat="1" hidden="1" outlineLevel="2" x14ac:dyDescent="0.3">
      <c r="A71" s="27"/>
      <c r="B71" s="11" t="str">
        <f>CONCATENATE("          ", "6008", " - ", "STUDENT HOURLY-FICA EXEMPT")</f>
        <v xml:space="preserve">          6008 - STUDENT HOURLY-FICA EXEMPT</v>
      </c>
      <c r="C71" s="11"/>
      <c r="D71" s="6">
        <v>14279.3</v>
      </c>
      <c r="E71" s="2"/>
      <c r="F71" s="7">
        <f t="shared" si="20"/>
        <v>9.4390219371838658E-3</v>
      </c>
      <c r="G71" s="2"/>
      <c r="H71" s="6">
        <v>73785.684999999998</v>
      </c>
      <c r="I71" s="2"/>
      <c r="J71" s="7">
        <f t="shared" si="21"/>
        <v>2.6916881107176965E-2</v>
      </c>
      <c r="K71" s="2"/>
      <c r="L71" s="6">
        <f t="shared" si="22"/>
        <v>-59506.384999999995</v>
      </c>
      <c r="M71" s="2"/>
      <c r="N71" s="7">
        <f t="shared" si="23"/>
        <v>-0.80647601225088572</v>
      </c>
      <c r="O71" s="11"/>
      <c r="P71" s="6">
        <v>24063.65</v>
      </c>
      <c r="Q71" s="2"/>
      <c r="R71" s="7">
        <f t="shared" si="24"/>
        <v>1.3883200694548603E-2</v>
      </c>
      <c r="S71" s="2"/>
      <c r="T71" s="6">
        <v>108285.685</v>
      </c>
      <c r="U71" s="2"/>
      <c r="V71" s="7">
        <f t="shared" si="25"/>
        <v>3.5255271490082125E-2</v>
      </c>
      <c r="W71" s="2"/>
      <c r="X71" s="6">
        <f t="shared" si="26"/>
        <v>-84222.035000000003</v>
      </c>
      <c r="Y71" s="2"/>
      <c r="Z71" s="7">
        <f t="shared" si="27"/>
        <v>-0.77777625916112558</v>
      </c>
    </row>
    <row r="72" spans="1:26" s="24" customFormat="1" hidden="1" outlineLevel="2" x14ac:dyDescent="0.3">
      <c r="A72" s="27"/>
      <c r="B72" s="11" t="str">
        <f>CONCATENATE("          ", "6009", " - ", "TEMPORARY-SEASONAL")</f>
        <v xml:space="preserve">          6009 - TEMPORARY-SEASONAL</v>
      </c>
      <c r="C72" s="11"/>
      <c r="D72" s="6"/>
      <c r="E72" s="2"/>
      <c r="F72" s="7">
        <f t="shared" si="20"/>
        <v>0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0</v>
      </c>
      <c r="M72" s="2"/>
      <c r="N72" s="7">
        <f t="shared" si="23"/>
        <v>0</v>
      </c>
      <c r="O72" s="11"/>
      <c r="P72" s="6"/>
      <c r="Q72" s="2"/>
      <c r="R72" s="7">
        <f t="shared" si="24"/>
        <v>0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0</v>
      </c>
      <c r="Y72" s="2"/>
      <c r="Z72" s="7">
        <f t="shared" si="27"/>
        <v>0</v>
      </c>
    </row>
    <row r="73" spans="1:26" s="24" customFormat="1" hidden="1" outlineLevel="2" x14ac:dyDescent="0.3">
      <c r="A73" s="27"/>
      <c r="B73" s="11" t="str">
        <f>CONCATENATE("          ", "6010", " - ", "GRATUITY")</f>
        <v xml:space="preserve">          6010 - GRATUITY</v>
      </c>
      <c r="C73" s="11"/>
      <c r="D73" s="6"/>
      <c r="E73" s="2"/>
      <c r="F73" s="7">
        <f t="shared" si="20"/>
        <v>0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0</v>
      </c>
      <c r="M73" s="2"/>
      <c r="N73" s="7">
        <f t="shared" si="23"/>
        <v>0</v>
      </c>
      <c r="O73" s="11"/>
      <c r="P73" s="6"/>
      <c r="Q73" s="2"/>
      <c r="R73" s="7">
        <f t="shared" si="24"/>
        <v>0</v>
      </c>
      <c r="S73" s="2"/>
      <c r="T73" s="6">
        <v>0</v>
      </c>
      <c r="U73" s="2"/>
      <c r="V73" s="7">
        <f t="shared" si="25"/>
        <v>0</v>
      </c>
      <c r="W73" s="2"/>
      <c r="X73" s="6">
        <f t="shared" si="26"/>
        <v>0</v>
      </c>
      <c r="Y73" s="2"/>
      <c r="Z73" s="7">
        <f t="shared" si="27"/>
        <v>0</v>
      </c>
    </row>
    <row r="74" spans="1:26" s="28" customFormat="1" outlineLevel="1" collapsed="1" x14ac:dyDescent="0.3">
      <c r="A74" s="29"/>
      <c r="B74" s="14" t="str">
        <f>CONCATENATE("     ","Advertising/Promo                                 ")</f>
        <v xml:space="preserve">     Advertising/Promo                                 </v>
      </c>
      <c r="C74" s="14"/>
      <c r="D74" s="1">
        <f>SUM(OSRRefD22_2x_0)</f>
        <v>1542.54</v>
      </c>
      <c r="E74" s="1"/>
      <c r="F74" s="5">
        <f t="shared" ref="F74:F82" si="28">IF(D$12=0,0,D74/D$12)</f>
        <v>1.0196626514593573E-3</v>
      </c>
      <c r="G74" s="1"/>
      <c r="H74" s="1">
        <f>SUM(OSRRefH22_2x_0)</f>
        <v>600</v>
      </c>
      <c r="I74" s="1"/>
      <c r="J74" s="5">
        <f t="shared" ref="J74:J82" si="29">IF(H$12=0,0,H74/H$12)</f>
        <v>2.1887888774504405E-4</v>
      </c>
      <c r="K74" s="1"/>
      <c r="L74" s="1">
        <f t="shared" ref="L74:L82" si="30">+D74-H74</f>
        <v>942.54</v>
      </c>
      <c r="M74" s="1"/>
      <c r="N74" s="5">
        <f t="shared" ref="N74:N82" si="31">IF(H74=0,0,L74/H74)</f>
        <v>1.5709</v>
      </c>
      <c r="O74" s="14"/>
      <c r="P74" s="1">
        <f>SUM(OSRRefP22_2x_0)</f>
        <v>2036.17</v>
      </c>
      <c r="Q74" s="1"/>
      <c r="R74" s="5">
        <f t="shared" ref="R74:R82" si="32">IF(P$12=0,0,P74/P$12)</f>
        <v>1.1747410205109794E-3</v>
      </c>
      <c r="S74" s="1"/>
      <c r="T74" s="1">
        <f>SUM(OSRRefT22_2x_0)</f>
        <v>3600</v>
      </c>
      <c r="U74" s="1"/>
      <c r="V74" s="5">
        <f t="shared" ref="V74:V82" si="33">IF(T$12=0,0,T74/T$12)</f>
        <v>1.1720753058384E-3</v>
      </c>
      <c r="W74" s="1"/>
      <c r="X74" s="1">
        <f t="shared" ref="X74:X82" si="34">+P74-T74</f>
        <v>-1563.83</v>
      </c>
      <c r="Y74" s="1"/>
      <c r="Z74" s="5">
        <f t="shared" ref="Z74:Z82" si="35">IF(T74=0,0,X74/T74)</f>
        <v>-0.43439722222222221</v>
      </c>
    </row>
    <row r="75" spans="1:26" s="24" customFormat="1" hidden="1" outlineLevel="2" x14ac:dyDescent="0.3">
      <c r="A75" s="27"/>
      <c r="B75" s="11" t="str">
        <f>CONCATENATE("          ", "6362", " - ", "ADVERTISING EXPENSE")</f>
        <v xml:space="preserve">          6362 - ADVERTISING EXPENSE</v>
      </c>
      <c r="C75" s="11"/>
      <c r="D75" s="6">
        <v>1542.54</v>
      </c>
      <c r="E75" s="2"/>
      <c r="F75" s="7">
        <f t="shared" si="28"/>
        <v>1.0196626514593573E-3</v>
      </c>
      <c r="G75" s="2"/>
      <c r="H75" s="6">
        <v>600</v>
      </c>
      <c r="I75" s="2"/>
      <c r="J75" s="7">
        <f t="shared" si="29"/>
        <v>2.1887888774504405E-4</v>
      </c>
      <c r="K75" s="2"/>
      <c r="L75" s="6">
        <f t="shared" si="30"/>
        <v>942.54</v>
      </c>
      <c r="M75" s="2"/>
      <c r="N75" s="7">
        <f t="shared" si="31"/>
        <v>1.5709</v>
      </c>
      <c r="O75" s="11"/>
      <c r="P75" s="6">
        <v>2036.17</v>
      </c>
      <c r="Q75" s="2"/>
      <c r="R75" s="7">
        <f t="shared" si="32"/>
        <v>1.1747410205109794E-3</v>
      </c>
      <c r="S75" s="2"/>
      <c r="T75" s="6">
        <v>3600</v>
      </c>
      <c r="U75" s="2"/>
      <c r="V75" s="7">
        <f t="shared" si="33"/>
        <v>1.1720753058384E-3</v>
      </c>
      <c r="W75" s="2"/>
      <c r="X75" s="6">
        <f t="shared" si="34"/>
        <v>-1563.83</v>
      </c>
      <c r="Y75" s="2"/>
      <c r="Z75" s="7">
        <f t="shared" si="35"/>
        <v>-0.43439722222222221</v>
      </c>
    </row>
    <row r="76" spans="1:26" s="28" customFormat="1" outlineLevel="1" collapsed="1" x14ac:dyDescent="0.3">
      <c r="A76" s="29"/>
      <c r="B76" s="14" t="str">
        <f>CONCATENATE("     ","Bad Debts/Over/Short                              ")</f>
        <v xml:space="preserve">     Bad Debts/Over/Short                              </v>
      </c>
      <c r="C76" s="14"/>
      <c r="D76" s="1">
        <f>SUM(OSRRefD22_3x_0)</f>
        <v>150.76</v>
      </c>
      <c r="E76" s="1"/>
      <c r="F76" s="5">
        <f t="shared" si="28"/>
        <v>9.9656632135317543E-5</v>
      </c>
      <c r="G76" s="1"/>
      <c r="H76" s="1">
        <f>SUM(OSRRefH22_3x_0)</f>
        <v>235</v>
      </c>
      <c r="I76" s="1"/>
      <c r="J76" s="5">
        <f t="shared" si="29"/>
        <v>8.5727564366808916E-5</v>
      </c>
      <c r="K76" s="1"/>
      <c r="L76" s="1">
        <f t="shared" si="30"/>
        <v>-84.240000000000009</v>
      </c>
      <c r="M76" s="1"/>
      <c r="N76" s="5">
        <f t="shared" si="31"/>
        <v>-0.35846808510638301</v>
      </c>
      <c r="O76" s="14"/>
      <c r="P76" s="1">
        <f>SUM(OSRRefP22_3x_0)</f>
        <v>152.03</v>
      </c>
      <c r="Q76" s="1"/>
      <c r="R76" s="5">
        <f t="shared" si="32"/>
        <v>8.7711673066730281E-5</v>
      </c>
      <c r="S76" s="1"/>
      <c r="T76" s="1">
        <f>SUM(OSRRefT22_3x_0)</f>
        <v>470</v>
      </c>
      <c r="U76" s="1"/>
      <c r="V76" s="5">
        <f t="shared" si="33"/>
        <v>1.5302094270668002E-4</v>
      </c>
      <c r="W76" s="1"/>
      <c r="X76" s="1">
        <f t="shared" si="34"/>
        <v>-317.97000000000003</v>
      </c>
      <c r="Y76" s="1"/>
      <c r="Z76" s="5">
        <f t="shared" si="35"/>
        <v>-0.67653191489361708</v>
      </c>
    </row>
    <row r="77" spans="1:26" s="24" customFormat="1" hidden="1" outlineLevel="2" x14ac:dyDescent="0.3">
      <c r="A77" s="27"/>
      <c r="B77" s="11" t="str">
        <f>CONCATENATE("          ", "6272", " - ", "CASH (OVER/SHORT)")</f>
        <v xml:space="preserve">          6272 - CASH (OVER/SHORT)</v>
      </c>
      <c r="C77" s="11"/>
      <c r="D77" s="6">
        <v>150.76</v>
      </c>
      <c r="E77" s="2"/>
      <c r="F77" s="7">
        <f t="shared" si="28"/>
        <v>9.9656632135317543E-5</v>
      </c>
      <c r="G77" s="2"/>
      <c r="H77" s="6">
        <v>235</v>
      </c>
      <c r="I77" s="2"/>
      <c r="J77" s="7">
        <f t="shared" si="29"/>
        <v>8.5727564366808916E-5</v>
      </c>
      <c r="K77" s="2"/>
      <c r="L77" s="6">
        <f t="shared" si="30"/>
        <v>-84.240000000000009</v>
      </c>
      <c r="M77" s="2"/>
      <c r="N77" s="7">
        <f t="shared" si="31"/>
        <v>-0.35846808510638301</v>
      </c>
      <c r="O77" s="11"/>
      <c r="P77" s="6">
        <v>152.03</v>
      </c>
      <c r="Q77" s="2"/>
      <c r="R77" s="7">
        <f t="shared" si="32"/>
        <v>8.7711673066730281E-5</v>
      </c>
      <c r="S77" s="2"/>
      <c r="T77" s="6">
        <v>470</v>
      </c>
      <c r="U77" s="2"/>
      <c r="V77" s="7">
        <f t="shared" si="33"/>
        <v>1.5302094270668002E-4</v>
      </c>
      <c r="W77" s="2"/>
      <c r="X77" s="6">
        <f t="shared" si="34"/>
        <v>-317.97000000000003</v>
      </c>
      <c r="Y77" s="2"/>
      <c r="Z77" s="7">
        <f t="shared" si="35"/>
        <v>-0.67653191489361708</v>
      </c>
    </row>
    <row r="78" spans="1:26" s="28" customFormat="1" outlineLevel="1" collapsed="1" x14ac:dyDescent="0.3">
      <c r="A78" s="29"/>
      <c r="B78" s="14" t="str">
        <f>CONCATENATE("     ","Bank/card Fees                                    ")</f>
        <v xml:space="preserve">     Bank/card Fees                                    </v>
      </c>
      <c r="C78" s="14"/>
      <c r="D78" s="1">
        <f>SUM(OSRRefD22_4x_0)</f>
        <v>23002.82</v>
      </c>
      <c r="E78" s="1"/>
      <c r="F78" s="5">
        <f t="shared" si="28"/>
        <v>1.5205515858416854E-2</v>
      </c>
      <c r="G78" s="1"/>
      <c r="H78" s="1">
        <f>SUM(OSRRefH22_4x_0)</f>
        <v>48514</v>
      </c>
      <c r="I78" s="1"/>
      <c r="J78" s="5">
        <f t="shared" si="29"/>
        <v>1.7697817266771776E-2</v>
      </c>
      <c r="K78" s="1"/>
      <c r="L78" s="1">
        <f t="shared" si="30"/>
        <v>-25511.18</v>
      </c>
      <c r="M78" s="1"/>
      <c r="N78" s="5">
        <f t="shared" si="31"/>
        <v>-0.525851919033681</v>
      </c>
      <c r="O78" s="14"/>
      <c r="P78" s="1">
        <f>SUM(OSRRefP22_4x_0)</f>
        <v>26964.7</v>
      </c>
      <c r="Q78" s="1"/>
      <c r="R78" s="5">
        <f t="shared" si="32"/>
        <v>1.5556922651729671E-2</v>
      </c>
      <c r="S78" s="1"/>
      <c r="T78" s="1">
        <f>SUM(OSRRefT22_4x_0)</f>
        <v>59756</v>
      </c>
      <c r="U78" s="1"/>
      <c r="V78" s="5">
        <f t="shared" si="33"/>
        <v>1.9455147771022065E-2</v>
      </c>
      <c r="W78" s="1"/>
      <c r="X78" s="1">
        <f t="shared" si="34"/>
        <v>-32791.300000000003</v>
      </c>
      <c r="Y78" s="1"/>
      <c r="Z78" s="5">
        <f t="shared" si="35"/>
        <v>-0.54875326327063401</v>
      </c>
    </row>
    <row r="79" spans="1:26" s="24" customFormat="1" hidden="1" outlineLevel="2" x14ac:dyDescent="0.3">
      <c r="A79" s="27"/>
      <c r="B79" s="11" t="str">
        <f>CONCATENATE("          ", "6381", " - ", "BANK/CREDIT CARD FEES")</f>
        <v xml:space="preserve">          6381 - BANK/CREDIT CARD FEES</v>
      </c>
      <c r="C79" s="11"/>
      <c r="D79" s="6">
        <v>23002.82</v>
      </c>
      <c r="E79" s="2"/>
      <c r="F79" s="7">
        <f t="shared" si="28"/>
        <v>1.5205515858416854E-2</v>
      </c>
      <c r="G79" s="2"/>
      <c r="H79" s="6">
        <v>48514</v>
      </c>
      <c r="I79" s="2"/>
      <c r="J79" s="7">
        <f t="shared" si="29"/>
        <v>1.7697817266771776E-2</v>
      </c>
      <c r="K79" s="2"/>
      <c r="L79" s="6">
        <f t="shared" si="30"/>
        <v>-25511.18</v>
      </c>
      <c r="M79" s="2"/>
      <c r="N79" s="7">
        <f t="shared" si="31"/>
        <v>-0.525851919033681</v>
      </c>
      <c r="O79" s="11"/>
      <c r="P79" s="6">
        <v>26964.7</v>
      </c>
      <c r="Q79" s="2"/>
      <c r="R79" s="7">
        <f t="shared" si="32"/>
        <v>1.5556922651729671E-2</v>
      </c>
      <c r="S79" s="2"/>
      <c r="T79" s="6">
        <v>59756</v>
      </c>
      <c r="U79" s="2"/>
      <c r="V79" s="7">
        <f t="shared" si="33"/>
        <v>1.9455147771022065E-2</v>
      </c>
      <c r="W79" s="2"/>
      <c r="X79" s="6">
        <f t="shared" si="34"/>
        <v>-32791.300000000003</v>
      </c>
      <c r="Y79" s="2"/>
      <c r="Z79" s="7">
        <f t="shared" si="35"/>
        <v>-0.54875326327063401</v>
      </c>
    </row>
    <row r="80" spans="1:26" s="28" customFormat="1" outlineLevel="1" collapsed="1" x14ac:dyDescent="0.3">
      <c r="A80" s="29"/>
      <c r="B80" s="14" t="str">
        <f>CONCATENATE("     ","Depreciation                                      ")</f>
        <v xml:space="preserve">     Depreciation                                      </v>
      </c>
      <c r="C80" s="14"/>
      <c r="D80" s="1">
        <f>SUM(OSRRefD22_5x_0)</f>
        <v>30720.68</v>
      </c>
      <c r="E80" s="1"/>
      <c r="F80" s="5">
        <f t="shared" si="28"/>
        <v>2.0307240021934247E-2</v>
      </c>
      <c r="G80" s="1"/>
      <c r="H80" s="1">
        <f>SUM(OSRRefH22_5x_0)</f>
        <v>30600</v>
      </c>
      <c r="I80" s="1"/>
      <c r="J80" s="5">
        <f t="shared" si="29"/>
        <v>1.1162823274997246E-2</v>
      </c>
      <c r="K80" s="1"/>
      <c r="L80" s="1">
        <f t="shared" si="30"/>
        <v>120.68000000000029</v>
      </c>
      <c r="M80" s="1"/>
      <c r="N80" s="5">
        <f t="shared" si="31"/>
        <v>3.943790849673212E-3</v>
      </c>
      <c r="O80" s="14"/>
      <c r="P80" s="1">
        <f>SUM(OSRRefP22_5x_0)</f>
        <v>61441.36</v>
      </c>
      <c r="Q80" s="1"/>
      <c r="R80" s="5">
        <f t="shared" si="32"/>
        <v>3.5447770052590137E-2</v>
      </c>
      <c r="S80" s="1"/>
      <c r="T80" s="1">
        <f>SUM(OSRRefT22_5x_0)</f>
        <v>61200</v>
      </c>
      <c r="U80" s="1"/>
      <c r="V80" s="5">
        <f t="shared" si="33"/>
        <v>1.9925280199252802E-2</v>
      </c>
      <c r="W80" s="1"/>
      <c r="X80" s="1">
        <f t="shared" si="34"/>
        <v>241.36000000000058</v>
      </c>
      <c r="Y80" s="1"/>
      <c r="Z80" s="5">
        <f t="shared" si="35"/>
        <v>3.943790849673212E-3</v>
      </c>
    </row>
    <row r="81" spans="1:26" s="24" customFormat="1" hidden="1" outlineLevel="2" x14ac:dyDescent="0.3">
      <c r="A81" s="27"/>
      <c r="B81" s="11" t="str">
        <f>CONCATENATE("          ", "6321", " - ", "BUILDING DEPRECIATION")</f>
        <v xml:space="preserve">          6321 - BUILDING DEPRECIATION</v>
      </c>
      <c r="C81" s="11"/>
      <c r="D81" s="6">
        <v>16396.52</v>
      </c>
      <c r="E81" s="2"/>
      <c r="F81" s="7">
        <f t="shared" si="28"/>
        <v>1.083856435353792E-2</v>
      </c>
      <c r="G81" s="2"/>
      <c r="H81" s="6"/>
      <c r="I81" s="2"/>
      <c r="J81" s="7">
        <f t="shared" si="29"/>
        <v>0</v>
      </c>
      <c r="K81" s="2"/>
      <c r="L81" s="6">
        <f t="shared" si="30"/>
        <v>16396.52</v>
      </c>
      <c r="M81" s="2"/>
      <c r="N81" s="7">
        <f t="shared" si="31"/>
        <v>0</v>
      </c>
      <c r="O81" s="11"/>
      <c r="P81" s="6">
        <v>32793.040000000001</v>
      </c>
      <c r="Q81" s="2"/>
      <c r="R81" s="7">
        <f t="shared" si="32"/>
        <v>1.8919505382781088E-2</v>
      </c>
      <c r="S81" s="2"/>
      <c r="T81" s="6"/>
      <c r="U81" s="2"/>
      <c r="V81" s="7">
        <f t="shared" si="33"/>
        <v>0</v>
      </c>
      <c r="W81" s="2"/>
      <c r="X81" s="6">
        <f t="shared" si="34"/>
        <v>32793.040000000001</v>
      </c>
      <c r="Y81" s="2"/>
      <c r="Z81" s="7">
        <f t="shared" si="35"/>
        <v>0</v>
      </c>
    </row>
    <row r="82" spans="1:26" s="24" customFormat="1" hidden="1" outlineLevel="2" x14ac:dyDescent="0.3">
      <c r="A82" s="27"/>
      <c r="B82" s="11" t="str">
        <f>CONCATENATE("          ", "6322", " - ", "EQUIPMENT DEPRECIATION EXPENSE")</f>
        <v xml:space="preserve">          6322 - EQUIPMENT DEPRECIATION EXPENSE</v>
      </c>
      <c r="C82" s="11"/>
      <c r="D82" s="6">
        <v>14324.16</v>
      </c>
      <c r="E82" s="2"/>
      <c r="F82" s="7">
        <f t="shared" si="28"/>
        <v>9.4686756683963254E-3</v>
      </c>
      <c r="G82" s="2"/>
      <c r="H82" s="6">
        <v>30600</v>
      </c>
      <c r="I82" s="2"/>
      <c r="J82" s="7">
        <f t="shared" si="29"/>
        <v>1.1162823274997246E-2</v>
      </c>
      <c r="K82" s="2"/>
      <c r="L82" s="6">
        <f t="shared" si="30"/>
        <v>-16275.84</v>
      </c>
      <c r="M82" s="2"/>
      <c r="N82" s="7">
        <f t="shared" si="31"/>
        <v>-0.53189019607843135</v>
      </c>
      <c r="O82" s="11"/>
      <c r="P82" s="6">
        <v>28648.32</v>
      </c>
      <c r="Q82" s="2"/>
      <c r="R82" s="7">
        <f t="shared" si="32"/>
        <v>1.6528264669809053E-2</v>
      </c>
      <c r="S82" s="2"/>
      <c r="T82" s="6">
        <v>61200</v>
      </c>
      <c r="U82" s="2"/>
      <c r="V82" s="7">
        <f t="shared" si="33"/>
        <v>1.9925280199252802E-2</v>
      </c>
      <c r="W82" s="2"/>
      <c r="X82" s="6">
        <f t="shared" si="34"/>
        <v>-32551.68</v>
      </c>
      <c r="Y82" s="2"/>
      <c r="Z82" s="7">
        <f t="shared" si="35"/>
        <v>-0.53189019607843135</v>
      </c>
    </row>
    <row r="83" spans="1:26" s="28" customFormat="1" outlineLevel="1" collapsed="1" x14ac:dyDescent="0.3">
      <c r="A83" s="29"/>
      <c r="B83" s="14" t="str">
        <f>CONCATENATE("     ","Discounts and Markdowns                           ")</f>
        <v xml:space="preserve">     Discounts and Markdowns                           </v>
      </c>
      <c r="C83" s="14"/>
      <c r="D83" s="1">
        <f>SUM(OSRRefD22_6x_0)</f>
        <v>-157.30000000000001</v>
      </c>
      <c r="E83" s="1"/>
      <c r="F83" s="5">
        <f t="shared" ref="F83:F85" si="36">IF(D$12=0,0,D83/D$12)</f>
        <v>-1.0397975746143175E-4</v>
      </c>
      <c r="G83" s="1"/>
      <c r="H83" s="1">
        <f>SUM(OSRRefH22_6x_0)</f>
        <v>0</v>
      </c>
      <c r="I83" s="1"/>
      <c r="J83" s="5">
        <f t="shared" ref="J83:J85" si="37">IF(H$12=0,0,H83/H$12)</f>
        <v>0</v>
      </c>
      <c r="K83" s="1"/>
      <c r="L83" s="1">
        <f t="shared" ref="L83:L85" si="38">+D83-H83</f>
        <v>-157.30000000000001</v>
      </c>
      <c r="M83" s="1"/>
      <c r="N83" s="5">
        <f t="shared" ref="N83:N85" si="39">IF(H83=0,0,L83/H83)</f>
        <v>0</v>
      </c>
      <c r="O83" s="14"/>
      <c r="P83" s="1">
        <f>SUM(OSRRefP22_6x_0)</f>
        <v>-157.97999999999999</v>
      </c>
      <c r="Q83" s="1"/>
      <c r="R83" s="5">
        <f t="shared" ref="R83:R85" si="40">IF(P$12=0,0,P83/P$12)</f>
        <v>-9.1144445905953092E-5</v>
      </c>
      <c r="S83" s="1"/>
      <c r="T83" s="1">
        <f>SUM(OSRRefT22_6x_0)</f>
        <v>0</v>
      </c>
      <c r="U83" s="1"/>
      <c r="V83" s="5">
        <f t="shared" ref="V83:V85" si="41">IF(T$12=0,0,T83/T$12)</f>
        <v>0</v>
      </c>
      <c r="W83" s="1"/>
      <c r="X83" s="1">
        <f t="shared" ref="X83:X85" si="42">+P83-T83</f>
        <v>-157.97999999999999</v>
      </c>
      <c r="Y83" s="1"/>
      <c r="Z83" s="5">
        <f t="shared" ref="Z83:Z85" si="43">IF(T83=0,0,X83/T83)</f>
        <v>0</v>
      </c>
    </row>
    <row r="84" spans="1:26" s="24" customFormat="1" hidden="1" outlineLevel="2" x14ac:dyDescent="0.3">
      <c r="A84" s="27"/>
      <c r="B84" s="11" t="str">
        <f>CONCATENATE("          ", "6382", " - ", "DISCOUNTS/MARK DOWNS")</f>
        <v xml:space="preserve">          6382 - DISCOUNTS/MARK DOWNS</v>
      </c>
      <c r="C84" s="11"/>
      <c r="D84" s="6"/>
      <c r="E84" s="2"/>
      <c r="F84" s="7">
        <f t="shared" si="36"/>
        <v>0</v>
      </c>
      <c r="G84" s="2"/>
      <c r="H84" s="6">
        <v>0</v>
      </c>
      <c r="I84" s="2"/>
      <c r="J84" s="7">
        <f t="shared" si="37"/>
        <v>0</v>
      </c>
      <c r="K84" s="2"/>
      <c r="L84" s="6">
        <f t="shared" si="38"/>
        <v>0</v>
      </c>
      <c r="M84" s="2"/>
      <c r="N84" s="7">
        <f t="shared" si="39"/>
        <v>0</v>
      </c>
      <c r="O84" s="11"/>
      <c r="P84" s="6"/>
      <c r="Q84" s="2"/>
      <c r="R84" s="7">
        <f t="shared" si="40"/>
        <v>0</v>
      </c>
      <c r="S84" s="2"/>
      <c r="T84" s="6">
        <v>0</v>
      </c>
      <c r="U84" s="2"/>
      <c r="V84" s="7">
        <f t="shared" si="41"/>
        <v>0</v>
      </c>
      <c r="W84" s="2"/>
      <c r="X84" s="6">
        <f t="shared" si="42"/>
        <v>0</v>
      </c>
      <c r="Y84" s="2"/>
      <c r="Z84" s="7">
        <f t="shared" si="43"/>
        <v>0</v>
      </c>
    </row>
    <row r="85" spans="1:26" s="24" customFormat="1" hidden="1" outlineLevel="2" x14ac:dyDescent="0.3">
      <c r="A85" s="27"/>
      <c r="B85" s="11" t="str">
        <f>CONCATENATE("          ", "9175", " - ", "EARNED DISCOUNTS")</f>
        <v xml:space="preserve">          9175 - EARNED DISCOUNTS</v>
      </c>
      <c r="C85" s="11"/>
      <c r="D85" s="6">
        <v>-157.30000000000001</v>
      </c>
      <c r="E85" s="2"/>
      <c r="F85" s="7">
        <f t="shared" si="36"/>
        <v>-1.0397975746143175E-4</v>
      </c>
      <c r="G85" s="2"/>
      <c r="H85" s="6"/>
      <c r="I85" s="2"/>
      <c r="J85" s="7">
        <f t="shared" si="37"/>
        <v>0</v>
      </c>
      <c r="K85" s="2"/>
      <c r="L85" s="6">
        <f t="shared" si="38"/>
        <v>-157.30000000000001</v>
      </c>
      <c r="M85" s="2"/>
      <c r="N85" s="7">
        <f t="shared" si="39"/>
        <v>0</v>
      </c>
      <c r="O85" s="11"/>
      <c r="P85" s="6">
        <v>-157.97999999999999</v>
      </c>
      <c r="Q85" s="2"/>
      <c r="R85" s="7">
        <f t="shared" si="40"/>
        <v>-9.1144445905953092E-5</v>
      </c>
      <c r="S85" s="2"/>
      <c r="T85" s="6"/>
      <c r="U85" s="2"/>
      <c r="V85" s="7">
        <f t="shared" si="41"/>
        <v>0</v>
      </c>
      <c r="W85" s="2"/>
      <c r="X85" s="6">
        <f t="shared" si="42"/>
        <v>-157.97999999999999</v>
      </c>
      <c r="Y85" s="2"/>
      <c r="Z85" s="7">
        <f t="shared" si="43"/>
        <v>0</v>
      </c>
    </row>
    <row r="86" spans="1:26" s="28" customFormat="1" outlineLevel="1" collapsed="1" x14ac:dyDescent="0.3">
      <c r="A86" s="29"/>
      <c r="B86" s="14" t="str">
        <f>CONCATENATE("     ","Donations                                         ")</f>
        <v xml:space="preserve">     Donations                                         </v>
      </c>
      <c r="C86" s="14"/>
      <c r="D86" s="1">
        <f>SUM(OSRRefD22_7x_0)</f>
        <v>0</v>
      </c>
      <c r="E86" s="1"/>
      <c r="F86" s="5">
        <f t="shared" ref="F86:F94" si="44">IF(D$12=0,0,D86/D$12)</f>
        <v>0</v>
      </c>
      <c r="G86" s="1"/>
      <c r="H86" s="1">
        <f>SUM(OSRRefH22_7x_0)</f>
        <v>1250</v>
      </c>
      <c r="I86" s="1"/>
      <c r="J86" s="5">
        <f t="shared" ref="J86:J94" si="45">IF(H$12=0,0,H86/H$12)</f>
        <v>4.5599768280217508E-4</v>
      </c>
      <c r="K86" s="1"/>
      <c r="L86" s="1">
        <f t="shared" ref="L86:L94" si="46">+D86-H86</f>
        <v>-1250</v>
      </c>
      <c r="M86" s="1"/>
      <c r="N86" s="5">
        <f t="shared" ref="N86:N94" si="47">IF(H86=0,0,L86/H86)</f>
        <v>-1</v>
      </c>
      <c r="O86" s="14"/>
      <c r="P86" s="1">
        <f>SUM(OSRRefP22_7x_0)</f>
        <v>0</v>
      </c>
      <c r="Q86" s="1"/>
      <c r="R86" s="5">
        <f t="shared" ref="R86:R94" si="48">IF(P$12=0,0,P86/P$12)</f>
        <v>0</v>
      </c>
      <c r="S86" s="1"/>
      <c r="T86" s="1">
        <f>SUM(OSRRefT22_7x_0)</f>
        <v>2500</v>
      </c>
      <c r="U86" s="1"/>
      <c r="V86" s="5">
        <f t="shared" ref="V86:V94" si="49">IF(T$12=0,0,T86/T$12)</f>
        <v>8.1394118461000013E-4</v>
      </c>
      <c r="W86" s="1"/>
      <c r="X86" s="1">
        <f t="shared" ref="X86:X94" si="50">+P86-T86</f>
        <v>-2500</v>
      </c>
      <c r="Y86" s="1"/>
      <c r="Z86" s="5">
        <f t="shared" ref="Z86:Z94" si="51">IF(T86=0,0,X86/T86)</f>
        <v>-1</v>
      </c>
    </row>
    <row r="87" spans="1:26" s="24" customFormat="1" hidden="1" outlineLevel="2" x14ac:dyDescent="0.3">
      <c r="A87" s="27"/>
      <c r="B87" s="11" t="str">
        <f>CONCATENATE("          ", "6399", " - ", "DONATION-ON CAMPUS")</f>
        <v xml:space="preserve">          6399 - DONATION-ON CAMPUS</v>
      </c>
      <c r="C87" s="11"/>
      <c r="D87" s="6"/>
      <c r="E87" s="2"/>
      <c r="F87" s="7">
        <f t="shared" si="44"/>
        <v>0</v>
      </c>
      <c r="G87" s="2"/>
      <c r="H87" s="6">
        <v>1250</v>
      </c>
      <c r="I87" s="2"/>
      <c r="J87" s="7">
        <f t="shared" si="45"/>
        <v>4.5599768280217508E-4</v>
      </c>
      <c r="K87" s="2"/>
      <c r="L87" s="6">
        <f t="shared" si="46"/>
        <v>-1250</v>
      </c>
      <c r="M87" s="2"/>
      <c r="N87" s="7">
        <f t="shared" si="47"/>
        <v>-1</v>
      </c>
      <c r="O87" s="11"/>
      <c r="P87" s="6"/>
      <c r="Q87" s="2"/>
      <c r="R87" s="7">
        <f t="shared" si="48"/>
        <v>0</v>
      </c>
      <c r="S87" s="2"/>
      <c r="T87" s="6">
        <v>2500</v>
      </c>
      <c r="U87" s="2"/>
      <c r="V87" s="7">
        <f t="shared" si="49"/>
        <v>8.1394118461000013E-4</v>
      </c>
      <c r="W87" s="2"/>
      <c r="X87" s="6">
        <f t="shared" si="50"/>
        <v>-2500</v>
      </c>
      <c r="Y87" s="2"/>
      <c r="Z87" s="7">
        <f t="shared" si="51"/>
        <v>-1</v>
      </c>
    </row>
    <row r="88" spans="1:26" s="28" customFormat="1" outlineLevel="1" collapsed="1" x14ac:dyDescent="0.3">
      <c r="A88" s="29"/>
      <c r="B88" s="14" t="str">
        <f>CONCATENATE("     ","Employees' Appreciation                           ")</f>
        <v xml:space="preserve">     Employees' Appreciation                           </v>
      </c>
      <c r="C88" s="14"/>
      <c r="D88" s="1">
        <f>SUM(OSRRefD22_8x_0)</f>
        <v>400</v>
      </c>
      <c r="E88" s="1"/>
      <c r="F88" s="5">
        <f t="shared" si="44"/>
        <v>2.6441133493053208E-4</v>
      </c>
      <c r="G88" s="1"/>
      <c r="H88" s="1">
        <f>SUM(OSRRefH22_8x_0)</f>
        <v>225</v>
      </c>
      <c r="I88" s="1"/>
      <c r="J88" s="5">
        <f t="shared" si="45"/>
        <v>8.2079582904391515E-5</v>
      </c>
      <c r="K88" s="1"/>
      <c r="L88" s="1">
        <f t="shared" si="46"/>
        <v>175</v>
      </c>
      <c r="M88" s="1"/>
      <c r="N88" s="5">
        <f t="shared" si="47"/>
        <v>0.77777777777777779</v>
      </c>
      <c r="O88" s="14"/>
      <c r="P88" s="1">
        <f>SUM(OSRRefP22_8x_0)</f>
        <v>937.36</v>
      </c>
      <c r="Q88" s="1"/>
      <c r="R88" s="5">
        <f t="shared" si="48"/>
        <v>5.4079730228132799E-4</v>
      </c>
      <c r="S88" s="1"/>
      <c r="T88" s="1">
        <f>SUM(OSRRefT22_8x_0)</f>
        <v>450</v>
      </c>
      <c r="U88" s="1"/>
      <c r="V88" s="5">
        <f t="shared" si="49"/>
        <v>1.465094132298E-4</v>
      </c>
      <c r="W88" s="1"/>
      <c r="X88" s="1">
        <f t="shared" si="50"/>
        <v>487.36</v>
      </c>
      <c r="Y88" s="1"/>
      <c r="Z88" s="5">
        <f t="shared" si="51"/>
        <v>1.0830222222222223</v>
      </c>
    </row>
    <row r="89" spans="1:26" s="24" customFormat="1" hidden="1" outlineLevel="2" x14ac:dyDescent="0.3">
      <c r="A89" s="27"/>
      <c r="B89" s="11" t="str">
        <f>CONCATENATE("          ", "6277", " - ", "EMPLOYEE APPRECIATION")</f>
        <v xml:space="preserve">          6277 - EMPLOYEE APPRECIATION</v>
      </c>
      <c r="C89" s="11"/>
      <c r="D89" s="6">
        <v>400</v>
      </c>
      <c r="E89" s="2"/>
      <c r="F89" s="7">
        <f t="shared" si="44"/>
        <v>2.6441133493053208E-4</v>
      </c>
      <c r="G89" s="2"/>
      <c r="H89" s="6">
        <v>225</v>
      </c>
      <c r="I89" s="2"/>
      <c r="J89" s="7">
        <f t="shared" si="45"/>
        <v>8.2079582904391515E-5</v>
      </c>
      <c r="K89" s="2"/>
      <c r="L89" s="6">
        <f t="shared" si="46"/>
        <v>175</v>
      </c>
      <c r="M89" s="2"/>
      <c r="N89" s="7">
        <f t="shared" si="47"/>
        <v>0.77777777777777779</v>
      </c>
      <c r="O89" s="11"/>
      <c r="P89" s="6">
        <v>937.36</v>
      </c>
      <c r="Q89" s="2"/>
      <c r="R89" s="7">
        <f t="shared" si="48"/>
        <v>5.4079730228132799E-4</v>
      </c>
      <c r="S89" s="2"/>
      <c r="T89" s="6">
        <v>450</v>
      </c>
      <c r="U89" s="2"/>
      <c r="V89" s="7">
        <f t="shared" si="49"/>
        <v>1.465094132298E-4</v>
      </c>
      <c r="W89" s="2"/>
      <c r="X89" s="6">
        <f t="shared" si="50"/>
        <v>487.36</v>
      </c>
      <c r="Y89" s="2"/>
      <c r="Z89" s="7">
        <f t="shared" si="51"/>
        <v>1.0830222222222223</v>
      </c>
    </row>
    <row r="90" spans="1:26" s="28" customFormat="1" outlineLevel="1" collapsed="1" x14ac:dyDescent="0.3">
      <c r="A90" s="29"/>
      <c r="B90" s="14" t="str">
        <f>CONCATENATE("     ","Equipment Rental                                  ")</f>
        <v xml:space="preserve">     Equipment Rental                                  </v>
      </c>
      <c r="C90" s="14"/>
      <c r="D90" s="1">
        <f>SUM(OSRRefD22_9x_0)</f>
        <v>2303.73</v>
      </c>
      <c r="E90" s="1"/>
      <c r="F90" s="5">
        <f t="shared" si="44"/>
        <v>1.5228308115487867E-3</v>
      </c>
      <c r="G90" s="1"/>
      <c r="H90" s="1">
        <f>SUM(OSRRefH22_9x_0)</f>
        <v>1600</v>
      </c>
      <c r="I90" s="1"/>
      <c r="J90" s="5">
        <f t="shared" si="45"/>
        <v>5.8367703398678409E-4</v>
      </c>
      <c r="K90" s="1"/>
      <c r="L90" s="1">
        <f t="shared" si="46"/>
        <v>703.73</v>
      </c>
      <c r="M90" s="1"/>
      <c r="N90" s="5">
        <f t="shared" si="47"/>
        <v>0.43983125000000001</v>
      </c>
      <c r="O90" s="14"/>
      <c r="P90" s="1">
        <f>SUM(OSRRefP22_9x_0)</f>
        <v>3691.89</v>
      </c>
      <c r="Q90" s="1"/>
      <c r="R90" s="5">
        <f t="shared" si="48"/>
        <v>2.1299865071257701E-3</v>
      </c>
      <c r="S90" s="1"/>
      <c r="T90" s="1">
        <f>SUM(OSRRefT22_9x_0)</f>
        <v>3200</v>
      </c>
      <c r="U90" s="1"/>
      <c r="V90" s="5">
        <f t="shared" si="49"/>
        <v>1.0418447163008E-3</v>
      </c>
      <c r="W90" s="1"/>
      <c r="X90" s="1">
        <f t="shared" si="50"/>
        <v>491.88999999999987</v>
      </c>
      <c r="Y90" s="1"/>
      <c r="Z90" s="5">
        <f t="shared" si="51"/>
        <v>0.15371562499999997</v>
      </c>
    </row>
    <row r="91" spans="1:26" s="24" customFormat="1" hidden="1" outlineLevel="2" x14ac:dyDescent="0.3">
      <c r="A91" s="27"/>
      <c r="B91" s="11" t="str">
        <f>CONCATENATE("          ", "6351", " - ", "EQUIPMENT RENTAL")</f>
        <v xml:space="preserve">          6351 - EQUIPMENT RENTAL</v>
      </c>
      <c r="C91" s="11"/>
      <c r="D91" s="6">
        <v>2303.73</v>
      </c>
      <c r="E91" s="2"/>
      <c r="F91" s="7">
        <f t="shared" si="44"/>
        <v>1.5228308115487867E-3</v>
      </c>
      <c r="G91" s="2"/>
      <c r="H91" s="6">
        <v>1600</v>
      </c>
      <c r="I91" s="2"/>
      <c r="J91" s="7">
        <f t="shared" si="45"/>
        <v>5.8367703398678409E-4</v>
      </c>
      <c r="K91" s="2"/>
      <c r="L91" s="6">
        <f t="shared" si="46"/>
        <v>703.73</v>
      </c>
      <c r="M91" s="2"/>
      <c r="N91" s="7">
        <f t="shared" si="47"/>
        <v>0.43983125000000001</v>
      </c>
      <c r="O91" s="11"/>
      <c r="P91" s="6">
        <v>3691.89</v>
      </c>
      <c r="Q91" s="2"/>
      <c r="R91" s="7">
        <f t="shared" si="48"/>
        <v>2.1299865071257701E-3</v>
      </c>
      <c r="S91" s="2"/>
      <c r="T91" s="6">
        <v>3200</v>
      </c>
      <c r="U91" s="2"/>
      <c r="V91" s="7">
        <f t="shared" si="49"/>
        <v>1.0418447163008E-3</v>
      </c>
      <c r="W91" s="2"/>
      <c r="X91" s="6">
        <f t="shared" si="50"/>
        <v>491.88999999999987</v>
      </c>
      <c r="Y91" s="2"/>
      <c r="Z91" s="7">
        <f t="shared" si="51"/>
        <v>0.15371562499999997</v>
      </c>
    </row>
    <row r="92" spans="1:26" s="28" customFormat="1" outlineLevel="1" collapsed="1" x14ac:dyDescent="0.3">
      <c r="A92" s="29"/>
      <c r="B92" s="14" t="str">
        <f>CONCATENATE("     ","Freight out/Postage                               ")</f>
        <v xml:space="preserve">     Freight out/Postage                               </v>
      </c>
      <c r="C92" s="14"/>
      <c r="D92" s="1">
        <f>SUM(OSRRefD22_10x_0)</f>
        <v>-19372.54</v>
      </c>
      <c r="E92" s="1"/>
      <c r="F92" s="5">
        <f t="shared" si="44"/>
        <v>-1.2805797905987825E-2</v>
      </c>
      <c r="G92" s="1"/>
      <c r="H92" s="1">
        <f>SUM(OSRRefH22_10x_0)</f>
        <v>-42550</v>
      </c>
      <c r="I92" s="1"/>
      <c r="J92" s="5">
        <f t="shared" si="45"/>
        <v>-1.552216112258604E-2</v>
      </c>
      <c r="K92" s="1"/>
      <c r="L92" s="1">
        <f t="shared" si="46"/>
        <v>23177.46</v>
      </c>
      <c r="M92" s="1"/>
      <c r="N92" s="5">
        <f t="shared" si="47"/>
        <v>-0.54471116333725023</v>
      </c>
      <c r="O92" s="14"/>
      <c r="P92" s="1">
        <f>SUM(OSRRefP22_10x_0)</f>
        <v>-15782.930000000002</v>
      </c>
      <c r="Q92" s="1"/>
      <c r="R92" s="5">
        <f t="shared" si="48"/>
        <v>-9.1057501558579855E-3</v>
      </c>
      <c r="S92" s="1"/>
      <c r="T92" s="1">
        <f>SUM(OSRRefT22_10x_0)</f>
        <v>-37100</v>
      </c>
      <c r="U92" s="1"/>
      <c r="V92" s="5">
        <f t="shared" si="49"/>
        <v>-1.2078887179612401E-2</v>
      </c>
      <c r="W92" s="1"/>
      <c r="X92" s="1">
        <f t="shared" si="50"/>
        <v>21317.07</v>
      </c>
      <c r="Y92" s="1"/>
      <c r="Z92" s="5">
        <f t="shared" si="51"/>
        <v>-0.57458409703504043</v>
      </c>
    </row>
    <row r="93" spans="1:26" s="24" customFormat="1" hidden="1" outlineLevel="2" x14ac:dyDescent="0.3">
      <c r="A93" s="27"/>
      <c r="B93" s="11" t="str">
        <f>CONCATENATE("          ", "6305", " - ", "FREIGHT OUT")</f>
        <v xml:space="preserve">          6305 - FREIGHT OUT</v>
      </c>
      <c r="C93" s="11"/>
      <c r="D93" s="6">
        <v>4399.6499999999996</v>
      </c>
      <c r="E93" s="2"/>
      <c r="F93" s="7">
        <f t="shared" si="44"/>
        <v>2.9082933243177885E-3</v>
      </c>
      <c r="G93" s="2"/>
      <c r="H93" s="6">
        <v>7350</v>
      </c>
      <c r="I93" s="2"/>
      <c r="J93" s="7">
        <f t="shared" si="45"/>
        <v>2.6812663748767896E-3</v>
      </c>
      <c r="K93" s="2"/>
      <c r="L93" s="6">
        <f t="shared" si="46"/>
        <v>-2950.3500000000004</v>
      </c>
      <c r="M93" s="2"/>
      <c r="N93" s="7">
        <f t="shared" si="47"/>
        <v>-0.40140816326530615</v>
      </c>
      <c r="O93" s="11"/>
      <c r="P93" s="6">
        <v>15289.15</v>
      </c>
      <c r="Q93" s="2"/>
      <c r="R93" s="7">
        <f t="shared" si="48"/>
        <v>8.820870395765304E-3</v>
      </c>
      <c r="S93" s="2"/>
      <c r="T93" s="6">
        <v>16700</v>
      </c>
      <c r="U93" s="2"/>
      <c r="V93" s="7">
        <f t="shared" si="49"/>
        <v>5.4371271131948007E-3</v>
      </c>
      <c r="W93" s="2"/>
      <c r="X93" s="6">
        <f t="shared" si="50"/>
        <v>-1410.8500000000004</v>
      </c>
      <c r="Y93" s="2"/>
      <c r="Z93" s="7">
        <f t="shared" si="51"/>
        <v>-8.4482035928143739E-2</v>
      </c>
    </row>
    <row r="94" spans="1:26" s="24" customFormat="1" hidden="1" outlineLevel="2" x14ac:dyDescent="0.3">
      <c r="A94" s="27"/>
      <c r="B94" s="11" t="str">
        <f>CONCATENATE("          ", "6307", " - ", "POSTAGE")</f>
        <v xml:space="preserve">          6307 - POSTAGE</v>
      </c>
      <c r="C94" s="11"/>
      <c r="D94" s="6">
        <v>-23772.19</v>
      </c>
      <c r="E94" s="2"/>
      <c r="F94" s="7">
        <f t="shared" si="44"/>
        <v>-1.5714091230305614E-2</v>
      </c>
      <c r="G94" s="2"/>
      <c r="H94" s="6">
        <v>-49900</v>
      </c>
      <c r="I94" s="2"/>
      <c r="J94" s="7">
        <f t="shared" si="45"/>
        <v>-1.8203427497462829E-2</v>
      </c>
      <c r="K94" s="2"/>
      <c r="L94" s="6">
        <f t="shared" si="46"/>
        <v>26127.81</v>
      </c>
      <c r="M94" s="2"/>
      <c r="N94" s="7">
        <f t="shared" si="47"/>
        <v>-0.52360340681362727</v>
      </c>
      <c r="O94" s="11"/>
      <c r="P94" s="6">
        <v>-31072.080000000002</v>
      </c>
      <c r="Q94" s="2"/>
      <c r="R94" s="7">
        <f t="shared" si="48"/>
        <v>-1.7926620551623289E-2</v>
      </c>
      <c r="S94" s="2"/>
      <c r="T94" s="6">
        <v>-53800</v>
      </c>
      <c r="U94" s="2"/>
      <c r="V94" s="7">
        <f t="shared" si="49"/>
        <v>-1.7516014292807202E-2</v>
      </c>
      <c r="W94" s="2"/>
      <c r="X94" s="6">
        <f t="shared" si="50"/>
        <v>22727.919999999998</v>
      </c>
      <c r="Y94" s="2"/>
      <c r="Z94" s="7">
        <f t="shared" si="51"/>
        <v>-0.4224520446096654</v>
      </c>
    </row>
    <row r="95" spans="1:26" s="28" customFormat="1" outlineLevel="1" collapsed="1" x14ac:dyDescent="0.3">
      <c r="A95" s="29"/>
      <c r="B95" s="14" t="str">
        <f>CONCATENATE("     ","General                                           ")</f>
        <v xml:space="preserve">     General                                           </v>
      </c>
      <c r="C95" s="14"/>
      <c r="D95" s="1">
        <f>SUM(OSRRefD22_11x_0)</f>
        <v>997.29</v>
      </c>
      <c r="E95" s="1"/>
      <c r="F95" s="5">
        <f t="shared" ref="F95:F97" si="52">IF(D$12=0,0,D95/D$12)</f>
        <v>6.5923695053217587E-4</v>
      </c>
      <c r="G95" s="1"/>
      <c r="H95" s="1">
        <f>SUM(OSRRefH22_11x_0)</f>
        <v>325</v>
      </c>
      <c r="I95" s="1"/>
      <c r="J95" s="5">
        <f t="shared" ref="J95:J97" si="53">IF(H$12=0,0,H95/H$12)</f>
        <v>1.1855939752856551E-4</v>
      </c>
      <c r="K95" s="1"/>
      <c r="L95" s="1">
        <f t="shared" ref="L95:L97" si="54">+D95-H95</f>
        <v>672.29</v>
      </c>
      <c r="M95" s="1"/>
      <c r="N95" s="5">
        <f t="shared" ref="N95:N97" si="55">IF(H95=0,0,L95/H95)</f>
        <v>2.0685846153846152</v>
      </c>
      <c r="O95" s="14"/>
      <c r="P95" s="1">
        <f>SUM(OSRRefP22_11x_0)</f>
        <v>1775.29</v>
      </c>
      <c r="Q95" s="1"/>
      <c r="R95" s="5">
        <f t="shared" ref="R95:R97" si="56">IF(P$12=0,0,P95/P$12)</f>
        <v>1.0242297972678787E-3</v>
      </c>
      <c r="S95" s="1"/>
      <c r="T95" s="1">
        <f>SUM(OSRRefT22_11x_0)</f>
        <v>650</v>
      </c>
      <c r="U95" s="1"/>
      <c r="V95" s="5">
        <f t="shared" ref="V95:V97" si="57">IF(T$12=0,0,T95/T$12)</f>
        <v>2.1162470799860003E-4</v>
      </c>
      <c r="W95" s="1"/>
      <c r="X95" s="1">
        <f t="shared" ref="X95:X97" si="58">+P95-T95</f>
        <v>1125.29</v>
      </c>
      <c r="Y95" s="1"/>
      <c r="Z95" s="5">
        <f t="shared" ref="Z95:Z97" si="59">IF(T95=0,0,X95/T95)</f>
        <v>1.7312153846153846</v>
      </c>
    </row>
    <row r="96" spans="1:26" s="24" customFormat="1" hidden="1" outlineLevel="2" x14ac:dyDescent="0.3">
      <c r="A96" s="27"/>
      <c r="B96" s="11" t="str">
        <f>CONCATENATE("          ", "6276", " - ", "PROPERTY TAX")</f>
        <v xml:space="preserve">          6276 - PROPERTY TAX</v>
      </c>
      <c r="C96" s="11"/>
      <c r="D96" s="6"/>
      <c r="E96" s="2"/>
      <c r="F96" s="7">
        <f t="shared" si="52"/>
        <v>0</v>
      </c>
      <c r="G96" s="2"/>
      <c r="H96" s="6"/>
      <c r="I96" s="2"/>
      <c r="J96" s="7">
        <f t="shared" si="53"/>
        <v>0</v>
      </c>
      <c r="K96" s="2"/>
      <c r="L96" s="6">
        <f t="shared" si="54"/>
        <v>0</v>
      </c>
      <c r="M96" s="2"/>
      <c r="N96" s="7">
        <f t="shared" si="55"/>
        <v>0</v>
      </c>
      <c r="O96" s="11"/>
      <c r="P96" s="6"/>
      <c r="Q96" s="2"/>
      <c r="R96" s="7">
        <f t="shared" si="56"/>
        <v>0</v>
      </c>
      <c r="S96" s="2"/>
      <c r="T96" s="6">
        <v>125</v>
      </c>
      <c r="U96" s="2"/>
      <c r="V96" s="7">
        <f t="shared" si="57"/>
        <v>4.0697059230500001E-5</v>
      </c>
      <c r="W96" s="2"/>
      <c r="X96" s="6">
        <f t="shared" si="58"/>
        <v>-125</v>
      </c>
      <c r="Y96" s="2"/>
      <c r="Z96" s="7">
        <f t="shared" si="59"/>
        <v>-1</v>
      </c>
    </row>
    <row r="97" spans="1:26" s="24" customFormat="1" hidden="1" outlineLevel="2" x14ac:dyDescent="0.3">
      <c r="A97" s="27"/>
      <c r="B97" s="11" t="str">
        <f>CONCATENATE("          ", "6279", " - ", "GENERAL EXPENSE")</f>
        <v xml:space="preserve">          6279 - GENERAL EXPENSE</v>
      </c>
      <c r="C97" s="11"/>
      <c r="D97" s="6">
        <v>997.29</v>
      </c>
      <c r="E97" s="2"/>
      <c r="F97" s="7">
        <f t="shared" si="52"/>
        <v>6.5923695053217587E-4</v>
      </c>
      <c r="G97" s="2"/>
      <c r="H97" s="6">
        <v>325</v>
      </c>
      <c r="I97" s="2"/>
      <c r="J97" s="7">
        <f t="shared" si="53"/>
        <v>1.1855939752856551E-4</v>
      </c>
      <c r="K97" s="2"/>
      <c r="L97" s="6">
        <f t="shared" si="54"/>
        <v>672.29</v>
      </c>
      <c r="M97" s="2"/>
      <c r="N97" s="7">
        <f t="shared" si="55"/>
        <v>2.0685846153846152</v>
      </c>
      <c r="O97" s="11"/>
      <c r="P97" s="6">
        <v>1775.29</v>
      </c>
      <c r="Q97" s="2"/>
      <c r="R97" s="7">
        <f t="shared" si="56"/>
        <v>1.0242297972678787E-3</v>
      </c>
      <c r="S97" s="2"/>
      <c r="T97" s="6">
        <v>525</v>
      </c>
      <c r="U97" s="2"/>
      <c r="V97" s="7">
        <f t="shared" si="57"/>
        <v>1.709276487681E-4</v>
      </c>
      <c r="W97" s="2"/>
      <c r="X97" s="6">
        <f t="shared" si="58"/>
        <v>1250.29</v>
      </c>
      <c r="Y97" s="2"/>
      <c r="Z97" s="7">
        <f t="shared" si="59"/>
        <v>2.381504761904762</v>
      </c>
    </row>
    <row r="98" spans="1:26" s="28" customFormat="1" outlineLevel="1" collapsed="1" x14ac:dyDescent="0.3">
      <c r="A98" s="29"/>
      <c r="B98" s="14" t="str">
        <f>CONCATENATE("     ","Insurance                                         ")</f>
        <v xml:space="preserve">     Insurance                                         </v>
      </c>
      <c r="C98" s="14"/>
      <c r="D98" s="1">
        <f>SUM(OSRRefD22_12x_0)</f>
        <v>5494.57</v>
      </c>
      <c r="E98" s="1"/>
      <c r="F98" s="5">
        <f t="shared" ref="F98:F110" si="60">IF(D$12=0,0,D98/D$12)</f>
        <v>3.6320664714231338E-3</v>
      </c>
      <c r="G98" s="1"/>
      <c r="H98" s="1">
        <f>SUM(OSRRefH22_12x_0)</f>
        <v>5375</v>
      </c>
      <c r="I98" s="1"/>
      <c r="J98" s="5">
        <f t="shared" ref="J98:J110" si="61">IF(H$12=0,0,H98/H$12)</f>
        <v>1.9607900360493528E-3</v>
      </c>
      <c r="K98" s="1"/>
      <c r="L98" s="1">
        <f t="shared" ref="L98:L110" si="62">+D98-H98</f>
        <v>119.56999999999971</v>
      </c>
      <c r="M98" s="1"/>
      <c r="N98" s="5">
        <f t="shared" ref="N98:N110" si="63">IF(H98=0,0,L98/H98)</f>
        <v>2.2245581395348782E-2</v>
      </c>
      <c r="O98" s="14"/>
      <c r="P98" s="1">
        <f>SUM(OSRRefP22_12x_0)</f>
        <v>10989.14</v>
      </c>
      <c r="Q98" s="1"/>
      <c r="R98" s="5">
        <f t="shared" ref="R98:R110" si="64">IF(P$12=0,0,P98/P$12)</f>
        <v>6.3400371963726124E-3</v>
      </c>
      <c r="S98" s="1"/>
      <c r="T98" s="1">
        <f>SUM(OSRRefT22_12x_0)</f>
        <v>10750</v>
      </c>
      <c r="U98" s="1"/>
      <c r="V98" s="5">
        <f t="shared" ref="V98:V110" si="65">IF(T$12=0,0,T98/T$12)</f>
        <v>3.4999470938230004E-3</v>
      </c>
      <c r="W98" s="1"/>
      <c r="X98" s="1">
        <f t="shared" ref="X98:X110" si="66">+P98-T98</f>
        <v>239.13999999999942</v>
      </c>
      <c r="Y98" s="1"/>
      <c r="Z98" s="5">
        <f t="shared" ref="Z98:Z110" si="67">IF(T98=0,0,X98/T98)</f>
        <v>2.2245581395348782E-2</v>
      </c>
    </row>
    <row r="99" spans="1:26" s="24" customFormat="1" hidden="1" outlineLevel="2" x14ac:dyDescent="0.3">
      <c r="A99" s="27"/>
      <c r="B99" s="11" t="str">
        <f>CONCATENATE("          ", "6314", " - ", "LIABILITY INSURANCE")</f>
        <v xml:space="preserve">          6314 - LIABILITY INSURANCE</v>
      </c>
      <c r="C99" s="11"/>
      <c r="D99" s="6">
        <v>5494.57</v>
      </c>
      <c r="E99" s="2"/>
      <c r="F99" s="7">
        <f t="shared" si="60"/>
        <v>3.6320664714231338E-3</v>
      </c>
      <c r="G99" s="2"/>
      <c r="H99" s="6">
        <v>5375</v>
      </c>
      <c r="I99" s="2"/>
      <c r="J99" s="7">
        <f t="shared" si="61"/>
        <v>1.9607900360493528E-3</v>
      </c>
      <c r="K99" s="2"/>
      <c r="L99" s="6">
        <f t="shared" si="62"/>
        <v>119.56999999999971</v>
      </c>
      <c r="M99" s="2"/>
      <c r="N99" s="7">
        <f t="shared" si="63"/>
        <v>2.2245581395348782E-2</v>
      </c>
      <c r="O99" s="11"/>
      <c r="P99" s="6">
        <v>10989.14</v>
      </c>
      <c r="Q99" s="2"/>
      <c r="R99" s="7">
        <f t="shared" si="64"/>
        <v>6.3400371963726124E-3</v>
      </c>
      <c r="S99" s="2"/>
      <c r="T99" s="6">
        <v>10750</v>
      </c>
      <c r="U99" s="2"/>
      <c r="V99" s="7">
        <f t="shared" si="65"/>
        <v>3.4999470938230004E-3</v>
      </c>
      <c r="W99" s="2"/>
      <c r="X99" s="6">
        <f t="shared" si="66"/>
        <v>239.13999999999942</v>
      </c>
      <c r="Y99" s="2"/>
      <c r="Z99" s="7">
        <f t="shared" si="67"/>
        <v>2.2245581395348782E-2</v>
      </c>
    </row>
    <row r="100" spans="1:26" s="28" customFormat="1" outlineLevel="1" collapsed="1" x14ac:dyDescent="0.3">
      <c r="A100" s="29"/>
      <c r="B100" s="14" t="str">
        <f>CONCATENATE("     ","Inventory Adjustment                              ")</f>
        <v xml:space="preserve">     Inventory Adjustment                              </v>
      </c>
      <c r="C100" s="14"/>
      <c r="D100" s="1">
        <f>SUM(OSRRefD22_13x_0)</f>
        <v>5100</v>
      </c>
      <c r="E100" s="1"/>
      <c r="F100" s="5">
        <f t="shared" si="60"/>
        <v>3.371244520364284E-3</v>
      </c>
      <c r="G100" s="1"/>
      <c r="H100" s="1">
        <f>SUM(OSRRefH22_13x_0)</f>
        <v>5100</v>
      </c>
      <c r="I100" s="1"/>
      <c r="J100" s="5">
        <f t="shared" si="61"/>
        <v>1.8604705458328743E-3</v>
      </c>
      <c r="K100" s="1"/>
      <c r="L100" s="1">
        <f t="shared" si="62"/>
        <v>0</v>
      </c>
      <c r="M100" s="1"/>
      <c r="N100" s="5">
        <f t="shared" si="63"/>
        <v>0</v>
      </c>
      <c r="O100" s="14"/>
      <c r="P100" s="1">
        <f>SUM(OSRRefP22_13x_0)</f>
        <v>10200</v>
      </c>
      <c r="Q100" s="1"/>
      <c r="R100" s="5">
        <f t="shared" si="64"/>
        <v>5.8847534386676894E-3</v>
      </c>
      <c r="S100" s="1"/>
      <c r="T100" s="1">
        <f>SUM(OSRRefT22_13x_0)</f>
        <v>10200</v>
      </c>
      <c r="U100" s="1"/>
      <c r="V100" s="5">
        <f t="shared" si="65"/>
        <v>3.3208800332088003E-3</v>
      </c>
      <c r="W100" s="1"/>
      <c r="X100" s="1">
        <f t="shared" si="66"/>
        <v>0</v>
      </c>
      <c r="Y100" s="1"/>
      <c r="Z100" s="5">
        <f t="shared" si="67"/>
        <v>0</v>
      </c>
    </row>
    <row r="101" spans="1:26" s="24" customFormat="1" hidden="1" outlineLevel="2" x14ac:dyDescent="0.3">
      <c r="A101" s="27"/>
      <c r="B101" s="11" t="str">
        <f>CONCATENATE("          ", "6408", " - ", "INVENTORY ADJUSTMENT")</f>
        <v xml:space="preserve">          6408 - INVENTORY ADJUSTMENT</v>
      </c>
      <c r="C101" s="11"/>
      <c r="D101" s="6">
        <v>5100</v>
      </c>
      <c r="E101" s="2"/>
      <c r="F101" s="7">
        <f t="shared" si="60"/>
        <v>3.371244520364284E-3</v>
      </c>
      <c r="G101" s="2"/>
      <c r="H101" s="6">
        <v>5100</v>
      </c>
      <c r="I101" s="2"/>
      <c r="J101" s="7">
        <f t="shared" si="61"/>
        <v>1.8604705458328743E-3</v>
      </c>
      <c r="K101" s="2"/>
      <c r="L101" s="6">
        <f t="shared" si="62"/>
        <v>0</v>
      </c>
      <c r="M101" s="2"/>
      <c r="N101" s="7">
        <f t="shared" si="63"/>
        <v>0</v>
      </c>
      <c r="O101" s="11"/>
      <c r="P101" s="6">
        <v>10200</v>
      </c>
      <c r="Q101" s="2"/>
      <c r="R101" s="7">
        <f t="shared" si="64"/>
        <v>5.8847534386676894E-3</v>
      </c>
      <c r="S101" s="2"/>
      <c r="T101" s="6">
        <v>10200</v>
      </c>
      <c r="U101" s="2"/>
      <c r="V101" s="7">
        <f t="shared" si="65"/>
        <v>3.3208800332088003E-3</v>
      </c>
      <c r="W101" s="2"/>
      <c r="X101" s="6">
        <f t="shared" si="66"/>
        <v>0</v>
      </c>
      <c r="Y101" s="2"/>
      <c r="Z101" s="7">
        <f t="shared" si="67"/>
        <v>0</v>
      </c>
    </row>
    <row r="102" spans="1:26" s="28" customFormat="1" outlineLevel="1" collapsed="1" x14ac:dyDescent="0.3">
      <c r="A102" s="29"/>
      <c r="B102" s="14" t="str">
        <f>CONCATENATE("     ","Professional Services                             ")</f>
        <v xml:space="preserve">     Professional Services                             </v>
      </c>
      <c r="C102" s="14"/>
      <c r="D102" s="1">
        <f>SUM(OSRRefD22_14x_0)</f>
        <v>0</v>
      </c>
      <c r="E102" s="1"/>
      <c r="F102" s="5">
        <f t="shared" si="60"/>
        <v>0</v>
      </c>
      <c r="G102" s="1"/>
      <c r="H102" s="1">
        <f>SUM(OSRRefH22_14x_0)</f>
        <v>0</v>
      </c>
      <c r="I102" s="1"/>
      <c r="J102" s="5">
        <f t="shared" si="61"/>
        <v>0</v>
      </c>
      <c r="K102" s="1"/>
      <c r="L102" s="1">
        <f t="shared" si="62"/>
        <v>0</v>
      </c>
      <c r="M102" s="1"/>
      <c r="N102" s="5">
        <f t="shared" si="63"/>
        <v>0</v>
      </c>
      <c r="O102" s="14"/>
      <c r="P102" s="1">
        <f>SUM(OSRRefP22_14x_0)</f>
        <v>0</v>
      </c>
      <c r="Q102" s="1"/>
      <c r="R102" s="5">
        <f t="shared" si="64"/>
        <v>0</v>
      </c>
      <c r="S102" s="1"/>
      <c r="T102" s="1">
        <f>SUM(OSRRefT22_14x_0)</f>
        <v>1000</v>
      </c>
      <c r="U102" s="1"/>
      <c r="V102" s="5">
        <f t="shared" si="65"/>
        <v>3.2557647384400001E-4</v>
      </c>
      <c r="W102" s="1"/>
      <c r="X102" s="1">
        <f t="shared" si="66"/>
        <v>-1000</v>
      </c>
      <c r="Y102" s="1"/>
      <c r="Z102" s="5">
        <f t="shared" si="67"/>
        <v>-1</v>
      </c>
    </row>
    <row r="103" spans="1:26" s="24" customFormat="1" hidden="1" outlineLevel="2" x14ac:dyDescent="0.3">
      <c r="A103" s="27"/>
      <c r="B103" s="11" t="str">
        <f>CONCATENATE("          ", "6336", " - ", "PROFESSIONAL SERVICES")</f>
        <v xml:space="preserve">          6336 - PROFESSIONAL SERVICES</v>
      </c>
      <c r="C103" s="11"/>
      <c r="D103" s="6"/>
      <c r="E103" s="2"/>
      <c r="F103" s="7">
        <f t="shared" si="60"/>
        <v>0</v>
      </c>
      <c r="G103" s="2"/>
      <c r="H103" s="6">
        <v>0</v>
      </c>
      <c r="I103" s="2"/>
      <c r="J103" s="7">
        <f t="shared" si="61"/>
        <v>0</v>
      </c>
      <c r="K103" s="2"/>
      <c r="L103" s="6">
        <f t="shared" si="62"/>
        <v>0</v>
      </c>
      <c r="M103" s="2"/>
      <c r="N103" s="7">
        <f t="shared" si="63"/>
        <v>0</v>
      </c>
      <c r="O103" s="11"/>
      <c r="P103" s="6"/>
      <c r="Q103" s="2"/>
      <c r="R103" s="7">
        <f t="shared" si="64"/>
        <v>0</v>
      </c>
      <c r="S103" s="2"/>
      <c r="T103" s="6">
        <v>1000</v>
      </c>
      <c r="U103" s="2"/>
      <c r="V103" s="7">
        <f t="shared" si="65"/>
        <v>3.2557647384400001E-4</v>
      </c>
      <c r="W103" s="2"/>
      <c r="X103" s="6">
        <f t="shared" si="66"/>
        <v>-1000</v>
      </c>
      <c r="Y103" s="2"/>
      <c r="Z103" s="7">
        <f t="shared" si="67"/>
        <v>-1</v>
      </c>
    </row>
    <row r="104" spans="1:26" s="28" customFormat="1" outlineLevel="1" collapsed="1" x14ac:dyDescent="0.3">
      <c r="A104" s="29"/>
      <c r="B104" s="14" t="str">
        <f>CONCATENATE("     ","Rent                                              ")</f>
        <v xml:space="preserve">     Rent                                              </v>
      </c>
      <c r="C104" s="14"/>
      <c r="D104" s="1">
        <f>SUM(OSRRefD22_15x_0)</f>
        <v>6100</v>
      </c>
      <c r="E104" s="1"/>
      <c r="F104" s="5">
        <f t="shared" si="60"/>
        <v>4.0322728576906147E-3</v>
      </c>
      <c r="G104" s="1"/>
      <c r="H104" s="1">
        <f>SUM(OSRRefH22_15x_0)</f>
        <v>6100</v>
      </c>
      <c r="I104" s="1"/>
      <c r="J104" s="5">
        <f t="shared" si="61"/>
        <v>2.2252686920746145E-3</v>
      </c>
      <c r="K104" s="1"/>
      <c r="L104" s="1">
        <f t="shared" si="62"/>
        <v>0</v>
      </c>
      <c r="M104" s="1"/>
      <c r="N104" s="5">
        <f t="shared" si="63"/>
        <v>0</v>
      </c>
      <c r="O104" s="14"/>
      <c r="P104" s="1">
        <f>SUM(OSRRefP22_15x_0)</f>
        <v>12200</v>
      </c>
      <c r="Q104" s="1"/>
      <c r="R104" s="5">
        <f t="shared" si="64"/>
        <v>7.0386266619358638E-3</v>
      </c>
      <c r="S104" s="1"/>
      <c r="T104" s="1">
        <f>SUM(OSRRefT22_15x_0)</f>
        <v>12200</v>
      </c>
      <c r="U104" s="1"/>
      <c r="V104" s="5">
        <f t="shared" si="65"/>
        <v>3.9720329808968008E-3</v>
      </c>
      <c r="W104" s="1"/>
      <c r="X104" s="1">
        <f t="shared" si="66"/>
        <v>0</v>
      </c>
      <c r="Y104" s="1"/>
      <c r="Z104" s="5">
        <f t="shared" si="67"/>
        <v>0</v>
      </c>
    </row>
    <row r="105" spans="1:26" s="24" customFormat="1" hidden="1" outlineLevel="2" x14ac:dyDescent="0.3">
      <c r="A105" s="27"/>
      <c r="B105" s="11" t="str">
        <f>CONCATENATE("          ", "6273", " - ", "RENT")</f>
        <v xml:space="preserve">          6273 - RENT</v>
      </c>
      <c r="C105" s="11"/>
      <c r="D105" s="6">
        <v>6100</v>
      </c>
      <c r="E105" s="2"/>
      <c r="F105" s="7">
        <f t="shared" si="60"/>
        <v>4.0322728576906147E-3</v>
      </c>
      <c r="G105" s="2"/>
      <c r="H105" s="6">
        <v>6100</v>
      </c>
      <c r="I105" s="2"/>
      <c r="J105" s="7">
        <f t="shared" si="61"/>
        <v>2.2252686920746145E-3</v>
      </c>
      <c r="K105" s="2"/>
      <c r="L105" s="6">
        <f t="shared" si="62"/>
        <v>0</v>
      </c>
      <c r="M105" s="2"/>
      <c r="N105" s="7">
        <f t="shared" si="63"/>
        <v>0</v>
      </c>
      <c r="O105" s="11"/>
      <c r="P105" s="6">
        <v>12200</v>
      </c>
      <c r="Q105" s="2"/>
      <c r="R105" s="7">
        <f t="shared" si="64"/>
        <v>7.0386266619358638E-3</v>
      </c>
      <c r="S105" s="2"/>
      <c r="T105" s="6">
        <v>12200</v>
      </c>
      <c r="U105" s="2"/>
      <c r="V105" s="7">
        <f t="shared" si="65"/>
        <v>3.9720329808968008E-3</v>
      </c>
      <c r="W105" s="2"/>
      <c r="X105" s="6">
        <f t="shared" si="66"/>
        <v>0</v>
      </c>
      <c r="Y105" s="2"/>
      <c r="Z105" s="7">
        <f t="shared" si="67"/>
        <v>0</v>
      </c>
    </row>
    <row r="106" spans="1:26" s="28" customFormat="1" outlineLevel="1" collapsed="1" x14ac:dyDescent="0.3">
      <c r="A106" s="29"/>
      <c r="B106" s="14" t="str">
        <f>CONCATENATE("     ","Repair and Maintenance                            ")</f>
        <v xml:space="preserve">     Repair and Maintenance                            </v>
      </c>
      <c r="C106" s="14"/>
      <c r="D106" s="1">
        <f>SUM(OSRRefD22_16x_0)</f>
        <v>8064.33</v>
      </c>
      <c r="E106" s="1"/>
      <c r="F106" s="5">
        <f t="shared" si="60"/>
        <v>5.3307506515508441E-3</v>
      </c>
      <c r="G106" s="1"/>
      <c r="H106" s="1">
        <f>SUM(OSRRefH22_16x_0)</f>
        <v>9145</v>
      </c>
      <c r="I106" s="1"/>
      <c r="J106" s="5">
        <f t="shared" si="61"/>
        <v>3.3360790473807127E-3</v>
      </c>
      <c r="K106" s="1"/>
      <c r="L106" s="1">
        <f t="shared" si="62"/>
        <v>-1080.67</v>
      </c>
      <c r="M106" s="1"/>
      <c r="N106" s="5">
        <f t="shared" si="63"/>
        <v>-0.11817058501913615</v>
      </c>
      <c r="O106" s="14"/>
      <c r="P106" s="1">
        <f>SUM(OSRRefP22_16x_0)</f>
        <v>72827.06</v>
      </c>
      <c r="Q106" s="1"/>
      <c r="R106" s="5">
        <f t="shared" si="64"/>
        <v>4.2016597231672365E-2</v>
      </c>
      <c r="S106" s="1"/>
      <c r="T106" s="1">
        <f>SUM(OSRRefT22_16x_0)</f>
        <v>55910</v>
      </c>
      <c r="U106" s="1"/>
      <c r="V106" s="5">
        <f t="shared" si="65"/>
        <v>1.8202980652618043E-2</v>
      </c>
      <c r="W106" s="1"/>
      <c r="X106" s="1">
        <f t="shared" si="66"/>
        <v>16917.059999999998</v>
      </c>
      <c r="Y106" s="1"/>
      <c r="Z106" s="5">
        <f t="shared" si="67"/>
        <v>0.30257664103022713</v>
      </c>
    </row>
    <row r="107" spans="1:26" s="24" customFormat="1" hidden="1" outlineLevel="2" x14ac:dyDescent="0.3">
      <c r="A107" s="27"/>
      <c r="B107" s="11" t="str">
        <f>CONCATENATE("          ", "6371", " - ", "COMPUTER SOFTWARE MAINTENANCE")</f>
        <v xml:space="preserve">          6371 - COMPUTER SOFTWARE MAINTENANCE</v>
      </c>
      <c r="C107" s="11"/>
      <c r="D107" s="6">
        <v>0</v>
      </c>
      <c r="E107" s="2"/>
      <c r="F107" s="7">
        <f t="shared" si="60"/>
        <v>0</v>
      </c>
      <c r="G107" s="2"/>
      <c r="H107" s="6">
        <v>1000</v>
      </c>
      <c r="I107" s="2"/>
      <c r="J107" s="7">
        <f t="shared" si="61"/>
        <v>3.6479814624174007E-4</v>
      </c>
      <c r="K107" s="2"/>
      <c r="L107" s="6">
        <f t="shared" si="62"/>
        <v>-1000</v>
      </c>
      <c r="M107" s="2"/>
      <c r="N107" s="7">
        <f t="shared" si="63"/>
        <v>-1</v>
      </c>
      <c r="O107" s="11"/>
      <c r="P107" s="6">
        <v>59623.5</v>
      </c>
      <c r="Q107" s="2"/>
      <c r="R107" s="7">
        <f t="shared" si="64"/>
        <v>3.4398980063764996E-2</v>
      </c>
      <c r="S107" s="2"/>
      <c r="T107" s="6">
        <v>41000</v>
      </c>
      <c r="U107" s="2"/>
      <c r="V107" s="7">
        <f t="shared" si="65"/>
        <v>1.3348635427604002E-2</v>
      </c>
      <c r="W107" s="2"/>
      <c r="X107" s="6">
        <f t="shared" si="66"/>
        <v>18623.5</v>
      </c>
      <c r="Y107" s="2"/>
      <c r="Z107" s="7">
        <f t="shared" si="67"/>
        <v>0.45423170731707319</v>
      </c>
    </row>
    <row r="108" spans="1:26" s="24" customFormat="1" hidden="1" outlineLevel="2" x14ac:dyDescent="0.3">
      <c r="A108" s="27"/>
      <c r="B108" s="11" t="str">
        <f>CONCATENATE("          ", "6372", " - ", "COMPUTER HARDWARE MAINTENANCE")</f>
        <v xml:space="preserve">          6372 - COMPUTER HARDWARE MAINTENANCE</v>
      </c>
      <c r="C108" s="11"/>
      <c r="D108" s="6"/>
      <c r="E108" s="2"/>
      <c r="F108" s="7">
        <f t="shared" si="60"/>
        <v>0</v>
      </c>
      <c r="G108" s="2"/>
      <c r="H108" s="6">
        <v>3750</v>
      </c>
      <c r="I108" s="2"/>
      <c r="J108" s="7">
        <f t="shared" si="61"/>
        <v>1.3679930484065252E-3</v>
      </c>
      <c r="K108" s="2"/>
      <c r="L108" s="6">
        <f t="shared" si="62"/>
        <v>-3750</v>
      </c>
      <c r="M108" s="2"/>
      <c r="N108" s="7">
        <f t="shared" si="63"/>
        <v>-1</v>
      </c>
      <c r="O108" s="11"/>
      <c r="P108" s="6"/>
      <c r="Q108" s="2"/>
      <c r="R108" s="7">
        <f t="shared" si="64"/>
        <v>0</v>
      </c>
      <c r="S108" s="2"/>
      <c r="T108" s="6">
        <v>4120</v>
      </c>
      <c r="U108" s="2"/>
      <c r="V108" s="7">
        <f t="shared" si="65"/>
        <v>1.3413750722372801E-3</v>
      </c>
      <c r="W108" s="2"/>
      <c r="X108" s="6">
        <f t="shared" si="66"/>
        <v>-4120</v>
      </c>
      <c r="Y108" s="2"/>
      <c r="Z108" s="7">
        <f t="shared" si="67"/>
        <v>-1</v>
      </c>
    </row>
    <row r="109" spans="1:26" s="24" customFormat="1" hidden="1" outlineLevel="2" x14ac:dyDescent="0.3">
      <c r="A109" s="27"/>
      <c r="B109" s="11" t="str">
        <f>CONCATENATE("          ", "6373", " - ", "MAINTENANCE CONTRACTS")</f>
        <v xml:space="preserve">          6373 - MAINTENANCE CONTRACTS</v>
      </c>
      <c r="C109" s="11"/>
      <c r="D109" s="6">
        <v>6010.42</v>
      </c>
      <c r="E109" s="2"/>
      <c r="F109" s="7">
        <f t="shared" si="60"/>
        <v>3.9730579392329218E-3</v>
      </c>
      <c r="G109" s="2"/>
      <c r="H109" s="6">
        <v>4355</v>
      </c>
      <c r="I109" s="2"/>
      <c r="J109" s="7">
        <f t="shared" si="61"/>
        <v>1.588695926882778E-3</v>
      </c>
      <c r="K109" s="2"/>
      <c r="L109" s="6">
        <f t="shared" si="62"/>
        <v>1655.42</v>
      </c>
      <c r="M109" s="2"/>
      <c r="N109" s="7">
        <f t="shared" si="63"/>
        <v>0.38011940298507463</v>
      </c>
      <c r="O109" s="11"/>
      <c r="P109" s="6">
        <v>6665.05</v>
      </c>
      <c r="Q109" s="2"/>
      <c r="R109" s="7">
        <f t="shared" si="64"/>
        <v>3.8453113633717729E-3</v>
      </c>
      <c r="S109" s="2"/>
      <c r="T109" s="6">
        <v>10710</v>
      </c>
      <c r="U109" s="2"/>
      <c r="V109" s="7">
        <f t="shared" si="65"/>
        <v>3.4869240348692405E-3</v>
      </c>
      <c r="W109" s="2"/>
      <c r="X109" s="6">
        <f t="shared" si="66"/>
        <v>-4044.95</v>
      </c>
      <c r="Y109" s="2"/>
      <c r="Z109" s="7">
        <f t="shared" si="67"/>
        <v>-0.37767973856209147</v>
      </c>
    </row>
    <row r="110" spans="1:26" s="24" customFormat="1" hidden="1" outlineLevel="2" x14ac:dyDescent="0.3">
      <c r="A110" s="27"/>
      <c r="B110" s="11" t="str">
        <f>CONCATENATE("          ", "6375", " - ", "OUTSIDE REPAIRS &amp; MAINTENANCE")</f>
        <v xml:space="preserve">          6375 - OUTSIDE REPAIRS &amp; MAINTENANCE</v>
      </c>
      <c r="C110" s="11"/>
      <c r="D110" s="6">
        <v>2053.91</v>
      </c>
      <c r="E110" s="2"/>
      <c r="F110" s="7">
        <f t="shared" si="60"/>
        <v>1.3576927123179227E-3</v>
      </c>
      <c r="G110" s="2"/>
      <c r="H110" s="6">
        <v>40</v>
      </c>
      <c r="I110" s="2"/>
      <c r="J110" s="7">
        <f t="shared" si="61"/>
        <v>1.4591925849669602E-5</v>
      </c>
      <c r="K110" s="2"/>
      <c r="L110" s="6">
        <f t="shared" si="62"/>
        <v>2013.9099999999999</v>
      </c>
      <c r="M110" s="2"/>
      <c r="N110" s="7">
        <f t="shared" si="63"/>
        <v>50.347749999999998</v>
      </c>
      <c r="O110" s="11"/>
      <c r="P110" s="6">
        <v>6538.51</v>
      </c>
      <c r="Q110" s="2"/>
      <c r="R110" s="7">
        <f t="shared" si="64"/>
        <v>3.7723058045355954E-3</v>
      </c>
      <c r="S110" s="2"/>
      <c r="T110" s="6">
        <v>80</v>
      </c>
      <c r="U110" s="2"/>
      <c r="V110" s="7">
        <f t="shared" si="65"/>
        <v>2.6046117907520001E-5</v>
      </c>
      <c r="W110" s="2"/>
      <c r="X110" s="6">
        <f t="shared" si="66"/>
        <v>6458.51</v>
      </c>
      <c r="Y110" s="2"/>
      <c r="Z110" s="7">
        <f t="shared" si="67"/>
        <v>80.731375</v>
      </c>
    </row>
    <row r="111" spans="1:26" s="28" customFormat="1" outlineLevel="1" collapsed="1" x14ac:dyDescent="0.3">
      <c r="A111" s="29"/>
      <c r="B111" s="14" t="str">
        <f>CONCATENATE("     ","Royalty &amp; Commissions                             ")</f>
        <v xml:space="preserve">     Royalty &amp; Commissions                             </v>
      </c>
      <c r="C111" s="14"/>
      <c r="D111" s="1">
        <f>SUM(OSRRefD22_17x_0)</f>
        <v>601.89</v>
      </c>
      <c r="E111" s="1"/>
      <c r="F111" s="5">
        <f t="shared" ref="F111:F115" si="68">IF(D$12=0,0,D111/D$12)</f>
        <v>3.9786634595334488E-4</v>
      </c>
      <c r="G111" s="1"/>
      <c r="H111" s="1">
        <f>SUM(OSRRefH22_17x_0)</f>
        <v>5080</v>
      </c>
      <c r="I111" s="1"/>
      <c r="J111" s="5">
        <f t="shared" ref="J111:J115" si="69">IF(H$12=0,0,H111/H$12)</f>
        <v>1.8531745829080395E-3</v>
      </c>
      <c r="K111" s="1"/>
      <c r="L111" s="1">
        <f t="shared" ref="L111:L115" si="70">+D111-H111</f>
        <v>-4478.1099999999997</v>
      </c>
      <c r="M111" s="1"/>
      <c r="N111" s="5">
        <f t="shared" ref="N111:N115" si="71">IF(H111=0,0,L111/H111)</f>
        <v>-0.88151771653543298</v>
      </c>
      <c r="O111" s="14"/>
      <c r="P111" s="1">
        <f>SUM(OSRRefP22_17x_0)</f>
        <v>7956.9900000000007</v>
      </c>
      <c r="Q111" s="1"/>
      <c r="R111" s="5">
        <f t="shared" ref="R111:R115" si="72">IF(P$12=0,0,P111/P$12)</f>
        <v>4.5906788494063161E-3</v>
      </c>
      <c r="S111" s="1"/>
      <c r="T111" s="1">
        <f>SUM(OSRRefT22_17x_0)</f>
        <v>17594</v>
      </c>
      <c r="U111" s="1"/>
      <c r="V111" s="5">
        <f t="shared" ref="V111:V115" si="73">IF(T$12=0,0,T111/T$12)</f>
        <v>5.7281924808113369E-3</v>
      </c>
      <c r="W111" s="1"/>
      <c r="X111" s="1">
        <f t="shared" ref="X111:X115" si="74">+P111-T111</f>
        <v>-9637.0099999999984</v>
      </c>
      <c r="Y111" s="1"/>
      <c r="Z111" s="5">
        <f t="shared" ref="Z111:Z115" si="75">IF(T111=0,0,X111/T111)</f>
        <v>-0.5477441173127201</v>
      </c>
    </row>
    <row r="112" spans="1:26" s="24" customFormat="1" hidden="1" outlineLevel="2" x14ac:dyDescent="0.3">
      <c r="A112" s="27"/>
      <c r="B112" s="11" t="str">
        <f>CONCATENATE("          ", "6252", " - ", "ROYALTY DUE CSTV")</f>
        <v xml:space="preserve">          6252 - ROYALTY DUE CSTV</v>
      </c>
      <c r="C112" s="11"/>
      <c r="D112" s="6"/>
      <c r="E112" s="2"/>
      <c r="F112" s="7">
        <f t="shared" si="68"/>
        <v>0</v>
      </c>
      <c r="G112" s="2"/>
      <c r="H112" s="6">
        <v>2080</v>
      </c>
      <c r="I112" s="2"/>
      <c r="J112" s="7">
        <f t="shared" si="69"/>
        <v>7.5878014418281935E-4</v>
      </c>
      <c r="K112" s="2"/>
      <c r="L112" s="6">
        <f t="shared" si="70"/>
        <v>-2080</v>
      </c>
      <c r="M112" s="2"/>
      <c r="N112" s="7">
        <f t="shared" si="71"/>
        <v>-1</v>
      </c>
      <c r="O112" s="11"/>
      <c r="P112" s="6"/>
      <c r="Q112" s="2"/>
      <c r="R112" s="7">
        <f t="shared" si="72"/>
        <v>0</v>
      </c>
      <c r="S112" s="2"/>
      <c r="T112" s="6">
        <v>2922</v>
      </c>
      <c r="U112" s="2"/>
      <c r="V112" s="7">
        <f t="shared" si="73"/>
        <v>9.5133445657216806E-4</v>
      </c>
      <c r="W112" s="2"/>
      <c r="X112" s="6">
        <f t="shared" si="74"/>
        <v>-2922</v>
      </c>
      <c r="Y112" s="2"/>
      <c r="Z112" s="7">
        <f t="shared" si="75"/>
        <v>-1</v>
      </c>
    </row>
    <row r="113" spans="1:26" s="24" customFormat="1" hidden="1" outlineLevel="2" x14ac:dyDescent="0.3">
      <c r="A113" s="27"/>
      <c r="B113" s="11" t="str">
        <f>CONCATENATE("          ", "6253", " - ", "ROYALTY DUE ATHLETICS-LRG")</f>
        <v xml:space="preserve">          6253 - ROYALTY DUE ATHLETICS-LRG</v>
      </c>
      <c r="C113" s="11"/>
      <c r="D113" s="6"/>
      <c r="E113" s="2"/>
      <c r="F113" s="7">
        <f t="shared" si="68"/>
        <v>0</v>
      </c>
      <c r="G113" s="2"/>
      <c r="H113" s="6">
        <v>0</v>
      </c>
      <c r="I113" s="2"/>
      <c r="J113" s="7">
        <f t="shared" si="69"/>
        <v>0</v>
      </c>
      <c r="K113" s="2"/>
      <c r="L113" s="6">
        <f t="shared" si="70"/>
        <v>0</v>
      </c>
      <c r="M113" s="2"/>
      <c r="N113" s="7">
        <f t="shared" si="71"/>
        <v>0</v>
      </c>
      <c r="O113" s="11"/>
      <c r="P113" s="6">
        <v>14376.54</v>
      </c>
      <c r="Q113" s="2"/>
      <c r="R113" s="7">
        <f t="shared" si="72"/>
        <v>8.2943522746219203E-3</v>
      </c>
      <c r="S113" s="2"/>
      <c r="T113" s="6">
        <v>5672</v>
      </c>
      <c r="U113" s="2"/>
      <c r="V113" s="7">
        <f t="shared" si="73"/>
        <v>1.8466697596431682E-3</v>
      </c>
      <c r="W113" s="2"/>
      <c r="X113" s="6">
        <f t="shared" si="74"/>
        <v>8704.5400000000009</v>
      </c>
      <c r="Y113" s="2"/>
      <c r="Z113" s="7">
        <f t="shared" si="75"/>
        <v>1.5346509167842033</v>
      </c>
    </row>
    <row r="114" spans="1:26" s="24" customFormat="1" hidden="1" outlineLevel="2" x14ac:dyDescent="0.3">
      <c r="A114" s="27"/>
      <c r="B114" s="11" t="str">
        <f>CONCATENATE("          ", "6254", " - ", "ROYALTY &amp; COMMISSIONS")</f>
        <v xml:space="preserve">          6254 - ROYALTY &amp; COMMISSIONS</v>
      </c>
      <c r="C114" s="11"/>
      <c r="D114" s="6"/>
      <c r="E114" s="2"/>
      <c r="F114" s="7">
        <f t="shared" si="68"/>
        <v>0</v>
      </c>
      <c r="G114" s="2"/>
      <c r="H114" s="6">
        <v>0</v>
      </c>
      <c r="I114" s="2"/>
      <c r="J114" s="7">
        <f t="shared" si="69"/>
        <v>0</v>
      </c>
      <c r="K114" s="2"/>
      <c r="L114" s="6">
        <f t="shared" si="70"/>
        <v>0</v>
      </c>
      <c r="M114" s="2"/>
      <c r="N114" s="7">
        <f t="shared" si="71"/>
        <v>0</v>
      </c>
      <c r="O114" s="11"/>
      <c r="P114" s="6">
        <v>-7027.5</v>
      </c>
      <c r="Q114" s="2"/>
      <c r="R114" s="7">
        <f t="shared" si="72"/>
        <v>-4.0544220382585476E-3</v>
      </c>
      <c r="S114" s="2"/>
      <c r="T114" s="6">
        <v>0</v>
      </c>
      <c r="U114" s="2"/>
      <c r="V114" s="7">
        <f t="shared" si="73"/>
        <v>0</v>
      </c>
      <c r="W114" s="2"/>
      <c r="X114" s="6">
        <f t="shared" si="74"/>
        <v>-7027.5</v>
      </c>
      <c r="Y114" s="2"/>
      <c r="Z114" s="7">
        <f t="shared" si="75"/>
        <v>0</v>
      </c>
    </row>
    <row r="115" spans="1:26" s="24" customFormat="1" hidden="1" outlineLevel="2" x14ac:dyDescent="0.3">
      <c r="A115" s="27"/>
      <c r="B115" s="11" t="str">
        <f>CONCATENATE("          ", "6259", " - ", "ROYALTY &amp; COMMISSIONS")</f>
        <v xml:space="preserve">          6259 - ROYALTY &amp; COMMISSIONS</v>
      </c>
      <c r="C115" s="11"/>
      <c r="D115" s="6">
        <v>601.89</v>
      </c>
      <c r="E115" s="2"/>
      <c r="F115" s="7">
        <f t="shared" si="68"/>
        <v>3.9786634595334488E-4</v>
      </c>
      <c r="G115" s="2"/>
      <c r="H115" s="6">
        <v>3000</v>
      </c>
      <c r="I115" s="2"/>
      <c r="J115" s="7">
        <f t="shared" si="69"/>
        <v>1.0943944387252203E-3</v>
      </c>
      <c r="K115" s="2"/>
      <c r="L115" s="6">
        <f t="shared" si="70"/>
        <v>-2398.11</v>
      </c>
      <c r="M115" s="2"/>
      <c r="N115" s="7">
        <f t="shared" si="71"/>
        <v>-0.79937000000000002</v>
      </c>
      <c r="O115" s="11"/>
      <c r="P115" s="6">
        <v>607.95000000000005</v>
      </c>
      <c r="Q115" s="2"/>
      <c r="R115" s="7">
        <f t="shared" si="72"/>
        <v>3.5074861304294335E-4</v>
      </c>
      <c r="S115" s="2"/>
      <c r="T115" s="6">
        <v>9000</v>
      </c>
      <c r="U115" s="2"/>
      <c r="V115" s="7">
        <f t="shared" si="73"/>
        <v>2.9301882645960003E-3</v>
      </c>
      <c r="W115" s="2"/>
      <c r="X115" s="6">
        <f t="shared" si="74"/>
        <v>-8392.0499999999993</v>
      </c>
      <c r="Y115" s="2"/>
      <c r="Z115" s="7">
        <f t="shared" si="75"/>
        <v>-0.93244999999999989</v>
      </c>
    </row>
    <row r="116" spans="1:26" s="28" customFormat="1" outlineLevel="1" collapsed="1" x14ac:dyDescent="0.3">
      <c r="A116" s="29"/>
      <c r="B116" s="14" t="str">
        <f>CONCATENATE("     ","Services                                          ")</f>
        <v xml:space="preserve">     Services                                          </v>
      </c>
      <c r="C116" s="14"/>
      <c r="D116" s="1">
        <f>SUM(OSRRefD22_18x_0)</f>
        <v>12958.730000000001</v>
      </c>
      <c r="E116" s="1"/>
      <c r="F116" s="5">
        <f t="shared" ref="F116:F119" si="76">IF(D$12=0,0,D116/D$12)</f>
        <v>8.5660877457608368E-3</v>
      </c>
      <c r="G116" s="1"/>
      <c r="H116" s="1">
        <f>SUM(OSRRefH22_18x_0)</f>
        <v>4360</v>
      </c>
      <c r="I116" s="1"/>
      <c r="J116" s="5">
        <f t="shared" ref="J116:J119" si="77">IF(H$12=0,0,H116/H$12)</f>
        <v>1.5905199176139866E-3</v>
      </c>
      <c r="K116" s="1"/>
      <c r="L116" s="1">
        <f t="shared" ref="L116:L119" si="78">+D116-H116</f>
        <v>8598.7300000000014</v>
      </c>
      <c r="M116" s="1"/>
      <c r="N116" s="5">
        <f t="shared" ref="N116:N119" si="79">IF(H116=0,0,L116/H116)</f>
        <v>1.9721857798165141</v>
      </c>
      <c r="O116" s="14"/>
      <c r="P116" s="1">
        <f>SUM(OSRRefP22_18x_0)</f>
        <v>16965.05</v>
      </c>
      <c r="Q116" s="1"/>
      <c r="R116" s="5">
        <f t="shared" ref="R116:R119" si="80">IF(P$12=0,0,P116/P$12)</f>
        <v>9.7877584632028707E-3</v>
      </c>
      <c r="S116" s="1"/>
      <c r="T116" s="1">
        <f>SUM(OSRRefT22_18x_0)</f>
        <v>8720</v>
      </c>
      <c r="U116" s="1"/>
      <c r="V116" s="5">
        <f t="shared" ref="V116:V119" si="81">IF(T$12=0,0,T116/T$12)</f>
        <v>2.8390268519196803E-3</v>
      </c>
      <c r="W116" s="1"/>
      <c r="X116" s="1">
        <f t="shared" ref="X116:X119" si="82">+P116-T116</f>
        <v>8245.0499999999993</v>
      </c>
      <c r="Y116" s="1"/>
      <c r="Z116" s="5">
        <f t="shared" ref="Z116:Z119" si="83">IF(T116=0,0,X116/T116)</f>
        <v>0.94553325688073386</v>
      </c>
    </row>
    <row r="117" spans="1:26" s="24" customFormat="1" hidden="1" outlineLevel="2" x14ac:dyDescent="0.3">
      <c r="A117" s="27"/>
      <c r="B117" s="11" t="str">
        <f>CONCATENATE("          ", "6282", " - ", "JANITORIAL/EXTERMINATOR EXPENS")</f>
        <v xml:space="preserve">          6282 - JANITORIAL/EXTERMINATOR EXPENS</v>
      </c>
      <c r="C117" s="11"/>
      <c r="D117" s="6">
        <v>291</v>
      </c>
      <c r="E117" s="2"/>
      <c r="F117" s="7">
        <f t="shared" si="76"/>
        <v>1.9235924616196209E-4</v>
      </c>
      <c r="G117" s="2"/>
      <c r="H117" s="6">
        <v>4300</v>
      </c>
      <c r="I117" s="2"/>
      <c r="J117" s="7">
        <f t="shared" si="77"/>
        <v>1.5686320288394822E-3</v>
      </c>
      <c r="K117" s="2"/>
      <c r="L117" s="6">
        <f t="shared" si="78"/>
        <v>-4009</v>
      </c>
      <c r="M117" s="2"/>
      <c r="N117" s="7">
        <f t="shared" si="79"/>
        <v>-0.93232558139534882</v>
      </c>
      <c r="O117" s="11"/>
      <c r="P117" s="6">
        <v>291</v>
      </c>
      <c r="Q117" s="2"/>
      <c r="R117" s="7">
        <f t="shared" si="80"/>
        <v>1.6788855398551937E-4</v>
      </c>
      <c r="S117" s="2"/>
      <c r="T117" s="6">
        <v>8600</v>
      </c>
      <c r="U117" s="2"/>
      <c r="V117" s="7">
        <f t="shared" si="81"/>
        <v>2.7999576750584003E-3</v>
      </c>
      <c r="W117" s="2"/>
      <c r="X117" s="6">
        <f t="shared" si="82"/>
        <v>-8309</v>
      </c>
      <c r="Y117" s="2"/>
      <c r="Z117" s="7">
        <f t="shared" si="83"/>
        <v>-0.96616279069767441</v>
      </c>
    </row>
    <row r="118" spans="1:26" s="24" customFormat="1" hidden="1" outlineLevel="2" x14ac:dyDescent="0.3">
      <c r="A118" s="27"/>
      <c r="B118" s="11" t="str">
        <f>CONCATENATE("          ", "6284", " - ", "TRASH REMOVAL EXPENSE")</f>
        <v xml:space="preserve">          6284 - TRASH REMOVAL EXPENSE</v>
      </c>
      <c r="C118" s="11"/>
      <c r="D118" s="6">
        <v>149.69999999999999</v>
      </c>
      <c r="E118" s="2"/>
      <c r="F118" s="7">
        <f t="shared" si="76"/>
        <v>9.8955942097751621E-5</v>
      </c>
      <c r="G118" s="2"/>
      <c r="H118" s="6">
        <v>60</v>
      </c>
      <c r="I118" s="2"/>
      <c r="J118" s="7">
        <f t="shared" si="77"/>
        <v>2.1887888774504404E-5</v>
      </c>
      <c r="K118" s="2"/>
      <c r="L118" s="6">
        <f t="shared" si="78"/>
        <v>89.699999999999989</v>
      </c>
      <c r="M118" s="2"/>
      <c r="N118" s="7">
        <f t="shared" si="79"/>
        <v>1.4949999999999999</v>
      </c>
      <c r="O118" s="11"/>
      <c r="P118" s="6">
        <v>292.27</v>
      </c>
      <c r="Q118" s="2"/>
      <c r="R118" s="7">
        <f t="shared" si="80"/>
        <v>1.6862126348229464E-4</v>
      </c>
      <c r="S118" s="2"/>
      <c r="T118" s="6">
        <v>120</v>
      </c>
      <c r="U118" s="2"/>
      <c r="V118" s="7">
        <f t="shared" si="81"/>
        <v>3.9069176861280004E-5</v>
      </c>
      <c r="W118" s="2"/>
      <c r="X118" s="6">
        <f t="shared" si="82"/>
        <v>172.26999999999998</v>
      </c>
      <c r="Y118" s="2"/>
      <c r="Z118" s="7">
        <f t="shared" si="83"/>
        <v>1.4355833333333332</v>
      </c>
    </row>
    <row r="119" spans="1:26" s="24" customFormat="1" hidden="1" outlineLevel="2" x14ac:dyDescent="0.3">
      <c r="A119" s="27"/>
      <c r="B119" s="11" t="str">
        <f>CONCATENATE("          ", "6285", " - ", "JANITORIAL SERVICES")</f>
        <v xml:space="preserve">          6285 - JANITORIAL SERVICES</v>
      </c>
      <c r="C119" s="11"/>
      <c r="D119" s="6">
        <v>12518.03</v>
      </c>
      <c r="E119" s="2"/>
      <c r="F119" s="7">
        <f t="shared" si="76"/>
        <v>8.2747725575011213E-3</v>
      </c>
      <c r="G119" s="2"/>
      <c r="H119" s="6"/>
      <c r="I119" s="2"/>
      <c r="J119" s="7">
        <f t="shared" si="77"/>
        <v>0</v>
      </c>
      <c r="K119" s="2"/>
      <c r="L119" s="6">
        <f t="shared" si="78"/>
        <v>12518.03</v>
      </c>
      <c r="M119" s="2"/>
      <c r="N119" s="7">
        <f t="shared" si="79"/>
        <v>0</v>
      </c>
      <c r="O119" s="11"/>
      <c r="P119" s="6">
        <v>16381.78</v>
      </c>
      <c r="Q119" s="2"/>
      <c r="R119" s="7">
        <f t="shared" si="80"/>
        <v>9.4512486457350563E-3</v>
      </c>
      <c r="S119" s="2"/>
      <c r="T119" s="6"/>
      <c r="U119" s="2"/>
      <c r="V119" s="7">
        <f t="shared" si="81"/>
        <v>0</v>
      </c>
      <c r="W119" s="2"/>
      <c r="X119" s="6">
        <f t="shared" si="82"/>
        <v>16381.78</v>
      </c>
      <c r="Y119" s="2"/>
      <c r="Z119" s="7">
        <f t="shared" si="83"/>
        <v>0</v>
      </c>
    </row>
    <row r="120" spans="1:26" s="28" customFormat="1" outlineLevel="1" collapsed="1" x14ac:dyDescent="0.3">
      <c r="A120" s="29"/>
      <c r="B120" s="14" t="str">
        <f>CONCATENATE("     ","Subscriptions &amp; Dues                              ")</f>
        <v xml:space="preserve">     Subscriptions &amp; Dues                              </v>
      </c>
      <c r="C120" s="14"/>
      <c r="D120" s="1">
        <f>SUM(OSRRefD22_19x_0)</f>
        <v>57</v>
      </c>
      <c r="E120" s="1"/>
      <c r="F120" s="5">
        <f t="shared" ref="F120:F122" si="84">IF(D$12=0,0,D120/D$12)</f>
        <v>3.7678615227600819E-5</v>
      </c>
      <c r="G120" s="1"/>
      <c r="H120" s="1">
        <f>SUM(OSRRefH22_19x_0)</f>
        <v>1361</v>
      </c>
      <c r="I120" s="1"/>
      <c r="J120" s="5">
        <f t="shared" ref="J120:J122" si="85">IF(H$12=0,0,H120/H$12)</f>
        <v>4.9649027703500825E-4</v>
      </c>
      <c r="K120" s="1"/>
      <c r="L120" s="1">
        <f t="shared" ref="L120:L122" si="86">+D120-H120</f>
        <v>-1304</v>
      </c>
      <c r="M120" s="1"/>
      <c r="N120" s="5">
        <f t="shared" ref="N120:N122" si="87">IF(H120=0,0,L120/H120)</f>
        <v>-0.95811903012490818</v>
      </c>
      <c r="O120" s="14"/>
      <c r="P120" s="1">
        <f>SUM(OSRRefP22_19x_0)</f>
        <v>125.32</v>
      </c>
      <c r="Q120" s="1"/>
      <c r="R120" s="5">
        <f t="shared" ref="R120:R122" si="88">IF(P$12=0,0,P120/P$12)</f>
        <v>7.23016961699838E-5</v>
      </c>
      <c r="S120" s="1"/>
      <c r="T120" s="1">
        <f>SUM(OSRRefT22_19x_0)</f>
        <v>3137</v>
      </c>
      <c r="U120" s="1"/>
      <c r="V120" s="5">
        <f t="shared" ref="V120:V122" si="89">IF(T$12=0,0,T120/T$12)</f>
        <v>1.0213333984486282E-3</v>
      </c>
      <c r="W120" s="1"/>
      <c r="X120" s="1">
        <f t="shared" ref="X120:X122" si="90">+P120-T120</f>
        <v>-3011.68</v>
      </c>
      <c r="Y120" s="1"/>
      <c r="Z120" s="5">
        <f t="shared" ref="Z120:Z122" si="91">IF(T120=0,0,X120/T120)</f>
        <v>-0.96005100414408662</v>
      </c>
    </row>
    <row r="121" spans="1:26" s="24" customFormat="1" hidden="1" outlineLevel="2" x14ac:dyDescent="0.3">
      <c r="A121" s="27"/>
      <c r="B121" s="11" t="str">
        <f>CONCATENATE("          ", "6258", " - ", "MEMBERSHIP DUES")</f>
        <v xml:space="preserve">          6258 - MEMBERSHIP DUES</v>
      </c>
      <c r="C121" s="11"/>
      <c r="D121" s="6">
        <v>57</v>
      </c>
      <c r="E121" s="2"/>
      <c r="F121" s="7">
        <f t="shared" si="84"/>
        <v>3.7678615227600819E-5</v>
      </c>
      <c r="G121" s="2"/>
      <c r="H121" s="6">
        <v>1300</v>
      </c>
      <c r="I121" s="2"/>
      <c r="J121" s="7">
        <f t="shared" si="85"/>
        <v>4.7423759011426205E-4</v>
      </c>
      <c r="K121" s="2"/>
      <c r="L121" s="6">
        <f t="shared" si="86"/>
        <v>-1243</v>
      </c>
      <c r="M121" s="2"/>
      <c r="N121" s="7">
        <f t="shared" si="87"/>
        <v>-0.95615384615384613</v>
      </c>
      <c r="O121" s="11"/>
      <c r="P121" s="6">
        <v>125.32</v>
      </c>
      <c r="Q121" s="2"/>
      <c r="R121" s="7">
        <f t="shared" si="88"/>
        <v>7.23016961699838E-5</v>
      </c>
      <c r="S121" s="2"/>
      <c r="T121" s="6">
        <v>2995</v>
      </c>
      <c r="U121" s="2"/>
      <c r="V121" s="7">
        <f t="shared" si="89"/>
        <v>9.751015391627801E-4</v>
      </c>
      <c r="W121" s="2"/>
      <c r="X121" s="6">
        <f t="shared" si="90"/>
        <v>-2869.68</v>
      </c>
      <c r="Y121" s="2"/>
      <c r="Z121" s="7">
        <f t="shared" si="91"/>
        <v>-0.95815692821368947</v>
      </c>
    </row>
    <row r="122" spans="1:26" s="24" customFormat="1" hidden="1" outlineLevel="2" x14ac:dyDescent="0.3">
      <c r="A122" s="27"/>
      <c r="B122" s="11" t="str">
        <f>CONCATENATE("          ", "6275", " - ", "SUBSCRIPTIONS")</f>
        <v xml:space="preserve">          6275 - SUBSCRIPTIONS</v>
      </c>
      <c r="C122" s="11"/>
      <c r="D122" s="6"/>
      <c r="E122" s="2"/>
      <c r="F122" s="7">
        <f t="shared" si="84"/>
        <v>0</v>
      </c>
      <c r="G122" s="2"/>
      <c r="H122" s="6">
        <v>61</v>
      </c>
      <c r="I122" s="2"/>
      <c r="J122" s="7">
        <f t="shared" si="85"/>
        <v>2.2252686920746145E-5</v>
      </c>
      <c r="K122" s="2"/>
      <c r="L122" s="6">
        <f t="shared" si="86"/>
        <v>-61</v>
      </c>
      <c r="M122" s="2"/>
      <c r="N122" s="7">
        <f t="shared" si="87"/>
        <v>-1</v>
      </c>
      <c r="O122" s="11"/>
      <c r="P122" s="6"/>
      <c r="Q122" s="2"/>
      <c r="R122" s="7">
        <f t="shared" si="88"/>
        <v>0</v>
      </c>
      <c r="S122" s="2"/>
      <c r="T122" s="6">
        <v>142</v>
      </c>
      <c r="U122" s="2"/>
      <c r="V122" s="7">
        <f t="shared" si="89"/>
        <v>4.6231859285848007E-5</v>
      </c>
      <c r="W122" s="2"/>
      <c r="X122" s="6">
        <f t="shared" si="90"/>
        <v>-142</v>
      </c>
      <c r="Y122" s="2"/>
      <c r="Z122" s="7">
        <f t="shared" si="91"/>
        <v>-1</v>
      </c>
    </row>
    <row r="123" spans="1:26" s="28" customFormat="1" outlineLevel="1" collapsed="1" x14ac:dyDescent="0.3">
      <c r="A123" s="29"/>
      <c r="B123" s="14" t="str">
        <f>CONCATENATE("     ","Supplies                                          ")</f>
        <v xml:space="preserve">     Supplies                                          </v>
      </c>
      <c r="C123" s="14"/>
      <c r="D123" s="1">
        <f>SUM(OSRRefD22_20x_0)</f>
        <v>15148.35</v>
      </c>
      <c r="E123" s="1"/>
      <c r="F123" s="5">
        <f t="shared" ref="F123:F129" si="92">IF(D$12=0,0,D123/D$12)</f>
        <v>1.0013488613737315E-2</v>
      </c>
      <c r="G123" s="1"/>
      <c r="H123" s="1">
        <f>SUM(OSRRefH22_20x_0)</f>
        <v>7310</v>
      </c>
      <c r="I123" s="1"/>
      <c r="J123" s="5">
        <f t="shared" ref="J123:J129" si="93">IF(H$12=0,0,H123/H$12)</f>
        <v>2.6666744490271197E-3</v>
      </c>
      <c r="K123" s="1"/>
      <c r="L123" s="1">
        <f t="shared" ref="L123:L129" si="94">+D123-H123</f>
        <v>7838.35</v>
      </c>
      <c r="M123" s="1"/>
      <c r="N123" s="5">
        <f t="shared" ref="N123:N129" si="95">IF(H123=0,0,L123/H123)</f>
        <v>1.0722777017783858</v>
      </c>
      <c r="O123" s="14"/>
      <c r="P123" s="1">
        <f>SUM(OSRRefP22_20x_0)</f>
        <v>22234.71</v>
      </c>
      <c r="Q123" s="1"/>
      <c r="R123" s="5">
        <f t="shared" ref="R123:R129" si="96">IF(P$12=0,0,P123/P$12)</f>
        <v>1.2828018248066553E-2</v>
      </c>
      <c r="S123" s="1"/>
      <c r="T123" s="1">
        <f>SUM(OSRRefT22_20x_0)</f>
        <v>17860</v>
      </c>
      <c r="U123" s="1"/>
      <c r="V123" s="5">
        <f t="shared" ref="V123:V129" si="97">IF(T$12=0,0,T123/T$12)</f>
        <v>5.8147958228538408E-3</v>
      </c>
      <c r="W123" s="1"/>
      <c r="X123" s="1">
        <f t="shared" ref="X123:X129" si="98">+P123-T123</f>
        <v>4374.7099999999991</v>
      </c>
      <c r="Y123" s="1"/>
      <c r="Z123" s="5">
        <f t="shared" ref="Z123:Z129" si="99">IF(T123=0,0,X123/T123)</f>
        <v>0.24494456886898092</v>
      </c>
    </row>
    <row r="124" spans="1:26" s="24" customFormat="1" hidden="1" outlineLevel="2" x14ac:dyDescent="0.3">
      <c r="A124" s="27"/>
      <c r="B124" s="11" t="str">
        <f>CONCATENATE("          ", "6235", " - ", "COVID-19 EXPENSES")</f>
        <v xml:space="preserve">          6235 - COVID-19 EXPENSES</v>
      </c>
      <c r="C124" s="11"/>
      <c r="D124" s="6">
        <v>2695.61</v>
      </c>
      <c r="E124" s="2"/>
      <c r="F124" s="7">
        <f t="shared" si="92"/>
        <v>1.781874596380229E-3</v>
      </c>
      <c r="G124" s="2"/>
      <c r="H124" s="6">
        <v>125</v>
      </c>
      <c r="I124" s="2"/>
      <c r="J124" s="7">
        <f t="shared" si="93"/>
        <v>4.5599768280217509E-5</v>
      </c>
      <c r="K124" s="2"/>
      <c r="L124" s="6">
        <f t="shared" si="94"/>
        <v>2570.61</v>
      </c>
      <c r="M124" s="2"/>
      <c r="N124" s="7">
        <f t="shared" si="95"/>
        <v>20.564880000000002</v>
      </c>
      <c r="O124" s="11"/>
      <c r="P124" s="6">
        <v>2967.83</v>
      </c>
      <c r="Q124" s="2"/>
      <c r="R124" s="7">
        <f t="shared" si="96"/>
        <v>1.7122497841059929E-3</v>
      </c>
      <c r="S124" s="2"/>
      <c r="T124" s="6">
        <v>250</v>
      </c>
      <c r="U124" s="2"/>
      <c r="V124" s="7">
        <f t="shared" si="97"/>
        <v>8.1394118461000002E-5</v>
      </c>
      <c r="W124" s="2"/>
      <c r="X124" s="6">
        <f t="shared" si="98"/>
        <v>2717.83</v>
      </c>
      <c r="Y124" s="2"/>
      <c r="Z124" s="7">
        <f t="shared" si="99"/>
        <v>10.871319999999999</v>
      </c>
    </row>
    <row r="125" spans="1:26" s="24" customFormat="1" hidden="1" outlineLevel="2" x14ac:dyDescent="0.3">
      <c r="A125" s="27"/>
      <c r="B125" s="11" t="str">
        <f>CONCATENATE("          ", "6237", " - ", "JANITORIAL SUPPLIES")</f>
        <v xml:space="preserve">          6237 - JANITORIAL SUPPLIES</v>
      </c>
      <c r="C125" s="11"/>
      <c r="D125" s="6">
        <v>1169.72</v>
      </c>
      <c r="E125" s="2"/>
      <c r="F125" s="7">
        <f t="shared" si="92"/>
        <v>7.73218066737355E-4</v>
      </c>
      <c r="G125" s="2"/>
      <c r="H125" s="6">
        <v>10</v>
      </c>
      <c r="I125" s="2"/>
      <c r="J125" s="7">
        <f t="shared" si="93"/>
        <v>3.6479814624174004E-6</v>
      </c>
      <c r="K125" s="2"/>
      <c r="L125" s="6">
        <f t="shared" si="94"/>
        <v>1159.72</v>
      </c>
      <c r="M125" s="2"/>
      <c r="N125" s="7">
        <f t="shared" si="95"/>
        <v>115.97200000000001</v>
      </c>
      <c r="O125" s="11"/>
      <c r="P125" s="6">
        <v>1825.69</v>
      </c>
      <c r="Q125" s="2"/>
      <c r="R125" s="7">
        <f t="shared" si="96"/>
        <v>1.0533074024942366E-3</v>
      </c>
      <c r="S125" s="2"/>
      <c r="T125" s="6">
        <v>60</v>
      </c>
      <c r="U125" s="2"/>
      <c r="V125" s="7">
        <f t="shared" si="97"/>
        <v>1.9534588430640002E-5</v>
      </c>
      <c r="W125" s="2"/>
      <c r="X125" s="6">
        <f t="shared" si="98"/>
        <v>1765.69</v>
      </c>
      <c r="Y125" s="2"/>
      <c r="Z125" s="7">
        <f t="shared" si="99"/>
        <v>29.428166666666666</v>
      </c>
    </row>
    <row r="126" spans="1:26" s="24" customFormat="1" hidden="1" outlineLevel="2" x14ac:dyDescent="0.3">
      <c r="A126" s="27"/>
      <c r="B126" s="11" t="str">
        <f>CONCATENATE("          ", "6241", " - ", "OFFICE EXPENSE")</f>
        <v xml:space="preserve">          6241 - OFFICE EXPENSE</v>
      </c>
      <c r="C126" s="11"/>
      <c r="D126" s="6">
        <v>5354.33</v>
      </c>
      <c r="E126" s="2"/>
      <c r="F126" s="7">
        <f t="shared" si="92"/>
        <v>3.5393638573964895E-3</v>
      </c>
      <c r="G126" s="2"/>
      <c r="H126" s="6">
        <v>770</v>
      </c>
      <c r="I126" s="2"/>
      <c r="J126" s="7">
        <f t="shared" si="93"/>
        <v>2.8089457260613987E-4</v>
      </c>
      <c r="K126" s="2"/>
      <c r="L126" s="6">
        <f t="shared" si="94"/>
        <v>4584.33</v>
      </c>
      <c r="M126" s="2"/>
      <c r="N126" s="7">
        <f t="shared" si="95"/>
        <v>5.9536753246753245</v>
      </c>
      <c r="O126" s="11"/>
      <c r="P126" s="6">
        <v>5760.74</v>
      </c>
      <c r="Q126" s="2"/>
      <c r="R126" s="7">
        <f t="shared" si="96"/>
        <v>3.3235818161049513E-3</v>
      </c>
      <c r="S126" s="2"/>
      <c r="T126" s="6">
        <v>1240</v>
      </c>
      <c r="U126" s="2"/>
      <c r="V126" s="7">
        <f t="shared" si="97"/>
        <v>4.0371482756656004E-4</v>
      </c>
      <c r="W126" s="2"/>
      <c r="X126" s="6">
        <f t="shared" si="98"/>
        <v>4520.74</v>
      </c>
      <c r="Y126" s="2"/>
      <c r="Z126" s="7">
        <f t="shared" si="99"/>
        <v>3.6457580645161287</v>
      </c>
    </row>
    <row r="127" spans="1:26" s="24" customFormat="1" hidden="1" outlineLevel="2" x14ac:dyDescent="0.3">
      <c r="A127" s="27"/>
      <c r="B127" s="11" t="str">
        <f>CONCATENATE("          ", "6243", " - ", "PAPER SUPPLIES")</f>
        <v xml:space="preserve">          6243 - PAPER SUPPLIES</v>
      </c>
      <c r="C127" s="11"/>
      <c r="D127" s="6">
        <v>1801.68</v>
      </c>
      <c r="E127" s="2"/>
      <c r="F127" s="7">
        <f t="shared" si="92"/>
        <v>1.1909615347941026E-3</v>
      </c>
      <c r="G127" s="2"/>
      <c r="H127" s="6">
        <v>900</v>
      </c>
      <c r="I127" s="2"/>
      <c r="J127" s="7">
        <f t="shared" si="93"/>
        <v>3.2831833161756606E-4</v>
      </c>
      <c r="K127" s="2"/>
      <c r="L127" s="6">
        <f t="shared" si="94"/>
        <v>901.68000000000006</v>
      </c>
      <c r="M127" s="2"/>
      <c r="N127" s="7">
        <f t="shared" si="95"/>
        <v>1.0018666666666667</v>
      </c>
      <c r="O127" s="11"/>
      <c r="P127" s="6">
        <v>3450.92</v>
      </c>
      <c r="Q127" s="2"/>
      <c r="R127" s="7">
        <f t="shared" si="96"/>
        <v>1.9909620918203042E-3</v>
      </c>
      <c r="S127" s="2"/>
      <c r="T127" s="6">
        <v>5100</v>
      </c>
      <c r="U127" s="2"/>
      <c r="V127" s="7">
        <f t="shared" si="97"/>
        <v>1.6604400166044002E-3</v>
      </c>
      <c r="W127" s="2"/>
      <c r="X127" s="6">
        <f t="shared" si="98"/>
        <v>-1649.08</v>
      </c>
      <c r="Y127" s="2"/>
      <c r="Z127" s="7">
        <f t="shared" si="99"/>
        <v>-0.32334901960784312</v>
      </c>
    </row>
    <row r="128" spans="1:26" s="24" customFormat="1" hidden="1" outlineLevel="2" x14ac:dyDescent="0.3">
      <c r="A128" s="27"/>
      <c r="B128" s="11" t="str">
        <f>CONCATENATE("          ", "6245", " - ", "PRINTING")</f>
        <v xml:space="preserve">          6245 - PRINTING</v>
      </c>
      <c r="C128" s="11"/>
      <c r="D128" s="6">
        <v>-851.82</v>
      </c>
      <c r="E128" s="2"/>
      <c r="F128" s="7">
        <f t="shared" si="92"/>
        <v>-5.6307715830131459E-4</v>
      </c>
      <c r="G128" s="2"/>
      <c r="H128" s="6">
        <v>30</v>
      </c>
      <c r="I128" s="2"/>
      <c r="J128" s="7">
        <f t="shared" si="93"/>
        <v>1.0943944387252202E-5</v>
      </c>
      <c r="K128" s="2"/>
      <c r="L128" s="6">
        <f t="shared" si="94"/>
        <v>-881.82</v>
      </c>
      <c r="M128" s="2"/>
      <c r="N128" s="7">
        <f t="shared" si="95"/>
        <v>-29.394000000000002</v>
      </c>
      <c r="O128" s="11"/>
      <c r="P128" s="6">
        <v>-600.17999999999995</v>
      </c>
      <c r="Q128" s="2"/>
      <c r="R128" s="7">
        <f t="shared" si="96"/>
        <v>-3.4626581557054643E-4</v>
      </c>
      <c r="S128" s="2"/>
      <c r="T128" s="6">
        <v>55</v>
      </c>
      <c r="U128" s="2"/>
      <c r="V128" s="7">
        <f t="shared" si="97"/>
        <v>1.7906706061420001E-5</v>
      </c>
      <c r="W128" s="2"/>
      <c r="X128" s="6">
        <f t="shared" si="98"/>
        <v>-655.17999999999995</v>
      </c>
      <c r="Y128" s="2"/>
      <c r="Z128" s="7">
        <f t="shared" si="99"/>
        <v>-11.912363636363635</v>
      </c>
    </row>
    <row r="129" spans="1:26" s="24" customFormat="1" hidden="1" outlineLevel="2" x14ac:dyDescent="0.3">
      <c r="A129" s="27"/>
      <c r="B129" s="11" t="str">
        <f>CONCATENATE("          ", "6247", " - ", "STORE SUPPLIES")</f>
        <v xml:space="preserve">          6247 - STORE SUPPLIES</v>
      </c>
      <c r="C129" s="11"/>
      <c r="D129" s="6">
        <v>4978.83</v>
      </c>
      <c r="E129" s="2"/>
      <c r="F129" s="7">
        <f t="shared" si="92"/>
        <v>3.2911477167304527E-3</v>
      </c>
      <c r="G129" s="2"/>
      <c r="H129" s="6">
        <v>5475</v>
      </c>
      <c r="I129" s="2"/>
      <c r="J129" s="7">
        <f t="shared" si="93"/>
        <v>1.9972698506735267E-3</v>
      </c>
      <c r="K129" s="2"/>
      <c r="L129" s="6">
        <f t="shared" si="94"/>
        <v>-496.17000000000007</v>
      </c>
      <c r="M129" s="2"/>
      <c r="N129" s="7">
        <f t="shared" si="95"/>
        <v>-9.0624657534246589E-2</v>
      </c>
      <c r="O129" s="11"/>
      <c r="P129" s="6">
        <v>8829.7099999999991</v>
      </c>
      <c r="Q129" s="2"/>
      <c r="R129" s="7">
        <f t="shared" si="96"/>
        <v>5.0941829691116157E-3</v>
      </c>
      <c r="S129" s="2"/>
      <c r="T129" s="6">
        <v>11155</v>
      </c>
      <c r="U129" s="2"/>
      <c r="V129" s="7">
        <f t="shared" si="97"/>
        <v>3.6318055657298203E-3</v>
      </c>
      <c r="W129" s="2"/>
      <c r="X129" s="6">
        <f t="shared" si="98"/>
        <v>-2325.2900000000009</v>
      </c>
      <c r="Y129" s="2"/>
      <c r="Z129" s="7">
        <f t="shared" si="99"/>
        <v>-0.20845271178843575</v>
      </c>
    </row>
    <row r="130" spans="1:26" s="28" customFormat="1" outlineLevel="1" collapsed="1" x14ac:dyDescent="0.3">
      <c r="A130" s="29"/>
      <c r="B130" s="14" t="str">
        <f>CONCATENATE("     ","Telephone/Data Lines                              ")</f>
        <v xml:space="preserve">     Telephone/Data Lines                              </v>
      </c>
      <c r="C130" s="14"/>
      <c r="D130" s="1">
        <f>SUM(OSRRefD22_21x_0)</f>
        <v>2123.19</v>
      </c>
      <c r="E130" s="1"/>
      <c r="F130" s="5">
        <f t="shared" ref="F130:F132" si="100">IF(D$12=0,0,D130/D$12)</f>
        <v>1.4034887555278912E-3</v>
      </c>
      <c r="G130" s="1"/>
      <c r="H130" s="1">
        <f>SUM(OSRRefH22_21x_0)</f>
        <v>1985</v>
      </c>
      <c r="I130" s="1"/>
      <c r="J130" s="5">
        <f t="shared" ref="J130:J132" si="101">IF(H$12=0,0,H130/H$12)</f>
        <v>7.2412432028985403E-4</v>
      </c>
      <c r="K130" s="1"/>
      <c r="L130" s="1">
        <f t="shared" ref="L130:L132" si="102">+D130-H130</f>
        <v>138.19000000000005</v>
      </c>
      <c r="M130" s="1"/>
      <c r="N130" s="5">
        <f t="shared" ref="N130:N132" si="103">IF(H130=0,0,L130/H130)</f>
        <v>6.9617128463476091E-2</v>
      </c>
      <c r="O130" s="14"/>
      <c r="P130" s="1">
        <f>SUM(OSRRefP22_21x_0)</f>
        <v>3691.63</v>
      </c>
      <c r="Q130" s="1"/>
      <c r="R130" s="5">
        <f t="shared" ref="R130:R132" si="104">IF(P$12=0,0,P130/P$12)</f>
        <v>2.1298365036067453E-3</v>
      </c>
      <c r="S130" s="1"/>
      <c r="T130" s="1">
        <f>SUM(OSRRefT22_21x_0)</f>
        <v>3720</v>
      </c>
      <c r="U130" s="1"/>
      <c r="V130" s="5">
        <f t="shared" ref="V130:V132" si="105">IF(T$12=0,0,T130/T$12)</f>
        <v>1.2111444826996801E-3</v>
      </c>
      <c r="W130" s="1"/>
      <c r="X130" s="1">
        <f t="shared" ref="X130:X132" si="106">+P130-T130</f>
        <v>-28.369999999999891</v>
      </c>
      <c r="Y130" s="1"/>
      <c r="Z130" s="5">
        <f t="shared" ref="Z130:Z132" si="107">IF(T130=0,0,X130/T130)</f>
        <v>-7.6263440860214757E-3</v>
      </c>
    </row>
    <row r="131" spans="1:26" s="24" customFormat="1" hidden="1" outlineLevel="2" x14ac:dyDescent="0.3">
      <c r="A131" s="27"/>
      <c r="B131" s="11" t="str">
        <f>CONCATENATE("          ", "6303", " - ", "DATA PHONE LINES")</f>
        <v xml:space="preserve">          6303 - DATA PHONE LINES</v>
      </c>
      <c r="C131" s="11"/>
      <c r="D131" s="6"/>
      <c r="E131" s="2"/>
      <c r="F131" s="7">
        <f t="shared" si="100"/>
        <v>0</v>
      </c>
      <c r="G131" s="2"/>
      <c r="H131" s="6">
        <v>0</v>
      </c>
      <c r="I131" s="2"/>
      <c r="J131" s="7">
        <f t="shared" si="101"/>
        <v>0</v>
      </c>
      <c r="K131" s="2"/>
      <c r="L131" s="6">
        <f t="shared" si="102"/>
        <v>0</v>
      </c>
      <c r="M131" s="2"/>
      <c r="N131" s="7">
        <f t="shared" si="103"/>
        <v>0</v>
      </c>
      <c r="O131" s="11"/>
      <c r="P131" s="6">
        <v>295</v>
      </c>
      <c r="Q131" s="2"/>
      <c r="R131" s="7">
        <f t="shared" si="104"/>
        <v>1.7019630043205573E-4</v>
      </c>
      <c r="S131" s="2"/>
      <c r="T131" s="6">
        <v>0</v>
      </c>
      <c r="U131" s="2"/>
      <c r="V131" s="7">
        <f t="shared" si="105"/>
        <v>0</v>
      </c>
      <c r="W131" s="2"/>
      <c r="X131" s="6">
        <f t="shared" si="106"/>
        <v>295</v>
      </c>
      <c r="Y131" s="2"/>
      <c r="Z131" s="7">
        <f t="shared" si="107"/>
        <v>0</v>
      </c>
    </row>
    <row r="132" spans="1:26" s="24" customFormat="1" hidden="1" outlineLevel="2" x14ac:dyDescent="0.3">
      <c r="A132" s="27"/>
      <c r="B132" s="11" t="str">
        <f>CONCATENATE("          ", "6309", " - ", "TELEPHONE")</f>
        <v xml:space="preserve">          6309 - TELEPHONE</v>
      </c>
      <c r="C132" s="11"/>
      <c r="D132" s="6">
        <v>2123.19</v>
      </c>
      <c r="E132" s="2"/>
      <c r="F132" s="7">
        <f t="shared" si="100"/>
        <v>1.4034887555278912E-3</v>
      </c>
      <c r="G132" s="2"/>
      <c r="H132" s="6">
        <v>1985</v>
      </c>
      <c r="I132" s="2"/>
      <c r="J132" s="7">
        <f t="shared" si="101"/>
        <v>7.2412432028985403E-4</v>
      </c>
      <c r="K132" s="2"/>
      <c r="L132" s="6">
        <f t="shared" si="102"/>
        <v>138.19000000000005</v>
      </c>
      <c r="M132" s="2"/>
      <c r="N132" s="7">
        <f t="shared" si="103"/>
        <v>6.9617128463476091E-2</v>
      </c>
      <c r="O132" s="11"/>
      <c r="P132" s="6">
        <v>3396.63</v>
      </c>
      <c r="Q132" s="2"/>
      <c r="R132" s="7">
        <f t="shared" si="104"/>
        <v>1.9596402031746897E-3</v>
      </c>
      <c r="S132" s="2"/>
      <c r="T132" s="6">
        <v>3720</v>
      </c>
      <c r="U132" s="2"/>
      <c r="V132" s="7">
        <f t="shared" si="105"/>
        <v>1.2111444826996801E-3</v>
      </c>
      <c r="W132" s="2"/>
      <c r="X132" s="6">
        <f t="shared" si="106"/>
        <v>-323.36999999999989</v>
      </c>
      <c r="Y132" s="2"/>
      <c r="Z132" s="7">
        <f t="shared" si="107"/>
        <v>-8.6927419354838678E-2</v>
      </c>
    </row>
    <row r="133" spans="1:26" s="28" customFormat="1" outlineLevel="1" collapsed="1" x14ac:dyDescent="0.3">
      <c r="A133" s="29"/>
      <c r="B133" s="14" t="str">
        <f>CONCATENATE("     ","Travel                                            ")</f>
        <v xml:space="preserve">     Travel                                            </v>
      </c>
      <c r="C133" s="14"/>
      <c r="D133" s="1">
        <f>SUM(OSRRefD22_22x_0)</f>
        <v>0</v>
      </c>
      <c r="E133" s="1"/>
      <c r="F133" s="5">
        <f t="shared" ref="F133:F136" si="108">IF(D$12=0,0,D133/D$12)</f>
        <v>0</v>
      </c>
      <c r="G133" s="1"/>
      <c r="H133" s="1">
        <f>SUM(OSRRefH22_22x_0)</f>
        <v>175</v>
      </c>
      <c r="I133" s="1"/>
      <c r="J133" s="5">
        <f t="shared" ref="J133:J136" si="109">IF(H$12=0,0,H133/H$12)</f>
        <v>6.3839675592304508E-5</v>
      </c>
      <c r="K133" s="1"/>
      <c r="L133" s="1">
        <f t="shared" ref="L133:L136" si="110">+D133-H133</f>
        <v>-175</v>
      </c>
      <c r="M133" s="1"/>
      <c r="N133" s="5">
        <f t="shared" ref="N133:N136" si="111">IF(H133=0,0,L133/H133)</f>
        <v>-1</v>
      </c>
      <c r="O133" s="14"/>
      <c r="P133" s="1">
        <f>SUM(OSRRefP22_22x_0)</f>
        <v>683.14</v>
      </c>
      <c r="Q133" s="1"/>
      <c r="R133" s="5">
        <f t="shared" ref="R133:R136" si="112">IF(P$12=0,0,P133/P$12)</f>
        <v>3.941284768717103E-4</v>
      </c>
      <c r="S133" s="1"/>
      <c r="T133" s="1">
        <f>SUM(OSRRefT22_22x_0)</f>
        <v>350</v>
      </c>
      <c r="U133" s="1"/>
      <c r="V133" s="5">
        <f t="shared" ref="V133:V136" si="113">IF(T$12=0,0,T133/T$12)</f>
        <v>1.1395176584540002E-4</v>
      </c>
      <c r="W133" s="1"/>
      <c r="X133" s="1">
        <f t="shared" ref="X133:X136" si="114">+P133-T133</f>
        <v>333.14</v>
      </c>
      <c r="Y133" s="1"/>
      <c r="Z133" s="5">
        <f t="shared" ref="Z133:Z136" si="115">IF(T133=0,0,X133/T133)</f>
        <v>0.95182857142857136</v>
      </c>
    </row>
    <row r="134" spans="1:26" s="24" customFormat="1" hidden="1" outlineLevel="2" x14ac:dyDescent="0.3">
      <c r="A134" s="27"/>
      <c r="B134" s="11" t="str">
        <f>CONCATENATE("          ", "6292", " - ", "TRAVEL/CONFERENCE")</f>
        <v xml:space="preserve">          6292 - TRAVEL/CONFERENCE</v>
      </c>
      <c r="C134" s="11"/>
      <c r="D134" s="6"/>
      <c r="E134" s="2"/>
      <c r="F134" s="7">
        <f t="shared" si="108"/>
        <v>0</v>
      </c>
      <c r="G134" s="2"/>
      <c r="H134" s="6">
        <v>125</v>
      </c>
      <c r="I134" s="2"/>
      <c r="J134" s="7">
        <f t="shared" si="109"/>
        <v>4.5599768280217509E-5</v>
      </c>
      <c r="K134" s="2"/>
      <c r="L134" s="6">
        <f t="shared" si="110"/>
        <v>-125</v>
      </c>
      <c r="M134" s="2"/>
      <c r="N134" s="7">
        <f t="shared" si="111"/>
        <v>-1</v>
      </c>
      <c r="O134" s="11"/>
      <c r="P134" s="6">
        <v>495</v>
      </c>
      <c r="Q134" s="2"/>
      <c r="R134" s="7">
        <f t="shared" si="112"/>
        <v>2.8558362275887318E-4</v>
      </c>
      <c r="S134" s="2"/>
      <c r="T134" s="6">
        <v>250</v>
      </c>
      <c r="U134" s="2"/>
      <c r="V134" s="7">
        <f t="shared" si="113"/>
        <v>8.1394118461000002E-5</v>
      </c>
      <c r="W134" s="2"/>
      <c r="X134" s="6">
        <f t="shared" si="114"/>
        <v>245</v>
      </c>
      <c r="Y134" s="2"/>
      <c r="Z134" s="7">
        <f t="shared" si="115"/>
        <v>0.98</v>
      </c>
    </row>
    <row r="135" spans="1:26" s="24" customFormat="1" hidden="1" outlineLevel="2" x14ac:dyDescent="0.3">
      <c r="A135" s="27"/>
      <c r="B135" s="11" t="str">
        <f>CONCATENATE("          ", "6294", " - ", "TRAVEL OPERATIONAL")</f>
        <v xml:space="preserve">          6294 - TRAVEL OPERATIONAL</v>
      </c>
      <c r="C135" s="11"/>
      <c r="D135" s="6"/>
      <c r="E135" s="2"/>
      <c r="F135" s="7">
        <f t="shared" si="108"/>
        <v>0</v>
      </c>
      <c r="G135" s="2"/>
      <c r="H135" s="6">
        <v>25</v>
      </c>
      <c r="I135" s="2"/>
      <c r="J135" s="7">
        <f t="shared" si="109"/>
        <v>9.1199536560435014E-6</v>
      </c>
      <c r="K135" s="2"/>
      <c r="L135" s="6">
        <f t="shared" si="110"/>
        <v>-25</v>
      </c>
      <c r="M135" s="2"/>
      <c r="N135" s="7">
        <f t="shared" si="111"/>
        <v>-1</v>
      </c>
      <c r="O135" s="11"/>
      <c r="P135" s="6">
        <v>188.14</v>
      </c>
      <c r="Q135" s="2"/>
      <c r="R135" s="7">
        <f t="shared" si="112"/>
        <v>1.0854485411283716E-4</v>
      </c>
      <c r="S135" s="2"/>
      <c r="T135" s="6">
        <v>50</v>
      </c>
      <c r="U135" s="2"/>
      <c r="V135" s="7">
        <f t="shared" si="113"/>
        <v>1.62788236922E-5</v>
      </c>
      <c r="W135" s="2"/>
      <c r="X135" s="6">
        <f t="shared" si="114"/>
        <v>138.13999999999999</v>
      </c>
      <c r="Y135" s="2"/>
      <c r="Z135" s="7">
        <f t="shared" si="115"/>
        <v>2.7627999999999999</v>
      </c>
    </row>
    <row r="136" spans="1:26" s="24" customFormat="1" hidden="1" outlineLevel="2" x14ac:dyDescent="0.3">
      <c r="A136" s="27"/>
      <c r="B136" s="11" t="str">
        <f>CONCATENATE("          ", "6298", " - ", "VEHICLE MILEAGE")</f>
        <v xml:space="preserve">          6298 - VEHICLE MILEAGE</v>
      </c>
      <c r="C136" s="11"/>
      <c r="D136" s="6"/>
      <c r="E136" s="2"/>
      <c r="F136" s="7">
        <f t="shared" si="108"/>
        <v>0</v>
      </c>
      <c r="G136" s="2"/>
      <c r="H136" s="6">
        <v>25</v>
      </c>
      <c r="I136" s="2"/>
      <c r="J136" s="7">
        <f t="shared" si="109"/>
        <v>9.1199536560435014E-6</v>
      </c>
      <c r="K136" s="2"/>
      <c r="L136" s="6">
        <f t="shared" si="110"/>
        <v>-25</v>
      </c>
      <c r="M136" s="2"/>
      <c r="N136" s="7">
        <f t="shared" si="111"/>
        <v>-1</v>
      </c>
      <c r="O136" s="11"/>
      <c r="P136" s="6"/>
      <c r="Q136" s="2"/>
      <c r="R136" s="7">
        <f t="shared" si="112"/>
        <v>0</v>
      </c>
      <c r="S136" s="2"/>
      <c r="T136" s="6">
        <v>50</v>
      </c>
      <c r="U136" s="2"/>
      <c r="V136" s="7">
        <f t="shared" si="113"/>
        <v>1.62788236922E-5</v>
      </c>
      <c r="W136" s="2"/>
      <c r="X136" s="6">
        <f t="shared" si="114"/>
        <v>-50</v>
      </c>
      <c r="Y136" s="2"/>
      <c r="Z136" s="7">
        <f t="shared" si="115"/>
        <v>-1</v>
      </c>
    </row>
    <row r="137" spans="1:26" s="28" customFormat="1" outlineLevel="1" collapsed="1" x14ac:dyDescent="0.3">
      <c r="A137" s="29"/>
      <c r="B137" s="14" t="str">
        <f>CONCATENATE("     ","Utilities                                         ")</f>
        <v xml:space="preserve">     Utilities                                         </v>
      </c>
      <c r="C137" s="14"/>
      <c r="D137" s="1">
        <f>SUM(OSRRefD22_23x_0)</f>
        <v>6037.29</v>
      </c>
      <c r="E137" s="1"/>
      <c r="F137" s="5">
        <f t="shared" ref="F137:F138" si="116">IF(D$12=0,0,D137/D$12)</f>
        <v>3.9908197706568799E-3</v>
      </c>
      <c r="G137" s="1"/>
      <c r="H137" s="1">
        <f>SUM(OSRRefH22_23x_0)</f>
        <v>6120</v>
      </c>
      <c r="I137" s="1"/>
      <c r="J137" s="5">
        <f t="shared" ref="J137:J138" si="117">IF(H$12=0,0,H137/H$12)</f>
        <v>2.232564654999449E-3</v>
      </c>
      <c r="K137" s="1"/>
      <c r="L137" s="1">
        <f t="shared" ref="L137:L138" si="118">+D137-H137</f>
        <v>-82.710000000000036</v>
      </c>
      <c r="M137" s="1"/>
      <c r="N137" s="5">
        <f t="shared" ref="N137:N138" si="119">IF(H137=0,0,L137/H137)</f>
        <v>-1.3514705882352948E-2</v>
      </c>
      <c r="O137" s="14"/>
      <c r="P137" s="1">
        <f>SUM(OSRRefP22_23x_0)</f>
        <v>12073.78</v>
      </c>
      <c r="Q137" s="1"/>
      <c r="R137" s="5">
        <f t="shared" ref="R137:R138" si="120">IF(P$12=0,0,P137/P$12)</f>
        <v>6.9658057228154093E-3</v>
      </c>
      <c r="S137" s="1"/>
      <c r="T137" s="1">
        <f>SUM(OSRRefT22_23x_0)</f>
        <v>12240</v>
      </c>
      <c r="U137" s="1"/>
      <c r="V137" s="5">
        <f t="shared" ref="V137:V138" si="121">IF(T$12=0,0,T137/T$12)</f>
        <v>3.9850560398505602E-3</v>
      </c>
      <c r="W137" s="1"/>
      <c r="X137" s="1">
        <f t="shared" ref="X137:X138" si="122">+P137-T137</f>
        <v>-166.21999999999935</v>
      </c>
      <c r="Y137" s="1"/>
      <c r="Z137" s="5">
        <f t="shared" ref="Z137:Z138" si="123">IF(T137=0,0,X137/T137)</f>
        <v>-1.358006535947707E-2</v>
      </c>
    </row>
    <row r="138" spans="1:26" s="24" customFormat="1" hidden="1" outlineLevel="2" x14ac:dyDescent="0.3">
      <c r="A138" s="27"/>
      <c r="B138" s="11" t="str">
        <f>CONCATENATE("          ", "6274", " - ", "UTILITIES")</f>
        <v xml:space="preserve">          6274 - UTILITIES</v>
      </c>
      <c r="C138" s="11"/>
      <c r="D138" s="6">
        <v>6037.29</v>
      </c>
      <c r="E138" s="2"/>
      <c r="F138" s="7">
        <f t="shared" si="116"/>
        <v>3.9908197706568799E-3</v>
      </c>
      <c r="G138" s="2"/>
      <c r="H138" s="6">
        <v>6120</v>
      </c>
      <c r="I138" s="2"/>
      <c r="J138" s="7">
        <f t="shared" si="117"/>
        <v>2.232564654999449E-3</v>
      </c>
      <c r="K138" s="2"/>
      <c r="L138" s="6">
        <f t="shared" si="118"/>
        <v>-82.710000000000036</v>
      </c>
      <c r="M138" s="2"/>
      <c r="N138" s="7">
        <f t="shared" si="119"/>
        <v>-1.3514705882352948E-2</v>
      </c>
      <c r="O138" s="11"/>
      <c r="P138" s="6">
        <v>12073.78</v>
      </c>
      <c r="Q138" s="2"/>
      <c r="R138" s="7">
        <f t="shared" si="120"/>
        <v>6.9658057228154093E-3</v>
      </c>
      <c r="S138" s="2"/>
      <c r="T138" s="6">
        <v>12240</v>
      </c>
      <c r="U138" s="2"/>
      <c r="V138" s="7">
        <f t="shared" si="121"/>
        <v>3.9850560398505602E-3</v>
      </c>
      <c r="W138" s="2"/>
      <c r="X138" s="6">
        <f t="shared" si="122"/>
        <v>-166.21999999999935</v>
      </c>
      <c r="Y138" s="2"/>
      <c r="Z138" s="7">
        <f t="shared" si="123"/>
        <v>-1.358006535947707E-2</v>
      </c>
    </row>
    <row r="139" spans="1:26" s="53" customFormat="1" x14ac:dyDescent="0.3">
      <c r="A139" s="36"/>
      <c r="B139" s="36"/>
      <c r="C139" s="36"/>
      <c r="D139" s="1"/>
      <c r="E139" s="1"/>
      <c r="F139" s="5"/>
      <c r="G139" s="1"/>
      <c r="H139" s="1"/>
      <c r="I139" s="1"/>
      <c r="J139" s="5"/>
      <c r="K139" s="1"/>
      <c r="L139" s="1"/>
      <c r="M139" s="1"/>
      <c r="N139" s="5"/>
      <c r="O139" s="36"/>
      <c r="P139" s="1"/>
      <c r="Q139" s="1"/>
      <c r="R139" s="5"/>
      <c r="S139" s="1"/>
      <c r="T139" s="1"/>
      <c r="U139" s="1"/>
      <c r="V139" s="5"/>
      <c r="W139" s="1"/>
      <c r="X139" s="1"/>
      <c r="Y139" s="1"/>
      <c r="Z139" s="5"/>
    </row>
    <row r="140" spans="1:26" s="23" customFormat="1" collapsed="1" x14ac:dyDescent="0.3">
      <c r="A140" s="10"/>
      <c r="B140" s="25" t="s">
        <v>293</v>
      </c>
      <c r="C140" s="10"/>
      <c r="D140" s="4">
        <f>SUM(OSRRefD25x_0)</f>
        <v>144356.09</v>
      </c>
      <c r="E140" s="4"/>
      <c r="F140" s="12">
        <f t="shared" ref="F140:F145" si="124">IF(D$12=0,0,D140/D$12)</f>
        <v>9.5423466155630077E-2</v>
      </c>
      <c r="G140" s="4"/>
      <c r="H140" s="4">
        <f>SUM(OSRRefH25x_0)</f>
        <v>53166</v>
      </c>
      <c r="I140" s="4"/>
      <c r="J140" s="12">
        <f t="shared" ref="J140:J145" si="125">IF(H$12=0,0,H140/H$12)</f>
        <v>1.9394858243088352E-2</v>
      </c>
      <c r="K140" s="4"/>
      <c r="L140" s="4">
        <f t="shared" ref="L140:L145" si="126">+D140-H140</f>
        <v>91190.09</v>
      </c>
      <c r="M140" s="4"/>
      <c r="N140" s="12">
        <f t="shared" ref="N140:N145" si="127">IF(H140=0,0,L140/H140)</f>
        <v>1.7151956137381033</v>
      </c>
      <c r="O140" s="10"/>
      <c r="P140" s="4">
        <f>SUM(OSRRefP25x_0)</f>
        <v>183996.94</v>
      </c>
      <c r="Q140" s="4"/>
      <c r="R140" s="12">
        <f t="shared" ref="R140:R145" si="128">IF(P$12=0,0,P140/P$12)</f>
        <v>0.10615457111464044</v>
      </c>
      <c r="S140" s="4"/>
      <c r="T140" s="4">
        <f>SUM(OSRRefT25x_0)</f>
        <v>74868</v>
      </c>
      <c r="U140" s="4"/>
      <c r="V140" s="12">
        <f t="shared" ref="V140:V145" si="129">IF(T$12=0,0,T140/T$12)</f>
        <v>2.4375259443752594E-2</v>
      </c>
      <c r="W140" s="4"/>
      <c r="X140" s="4">
        <f t="shared" ref="X140:X145" si="130">+P140-T140</f>
        <v>109128.94</v>
      </c>
      <c r="Y140" s="4"/>
      <c r="Z140" s="12">
        <f t="shared" ref="Z140:Z145" si="131">IF(T140=0,0,X140/T140)</f>
        <v>1.4576179409093337</v>
      </c>
    </row>
    <row r="141" spans="1:26" s="24" customFormat="1" hidden="1" outlineLevel="1" x14ac:dyDescent="0.3">
      <c r="A141" s="44"/>
      <c r="B141" s="11" t="str">
        <f>CONCATENATE("          ", "9150", " - ", "MISC. INCOME")</f>
        <v xml:space="preserve">          9150 - MISC. INCOME</v>
      </c>
      <c r="C141" s="11"/>
      <c r="D141" s="2">
        <f>--74872.62</f>
        <v>74872.62</v>
      </c>
      <c r="E141" s="2"/>
      <c r="F141" s="19">
        <f t="shared" si="124"/>
        <v>4.9492923509866137E-2</v>
      </c>
      <c r="G141" s="2"/>
      <c r="H141" s="2">
        <v>10166</v>
      </c>
      <c r="I141" s="2"/>
      <c r="J141" s="19">
        <f t="shared" si="125"/>
        <v>3.7085379546935296E-3</v>
      </c>
      <c r="K141" s="2"/>
      <c r="L141" s="2">
        <f t="shared" si="126"/>
        <v>64706.619999999995</v>
      </c>
      <c r="M141" s="2"/>
      <c r="N141" s="19">
        <f t="shared" si="127"/>
        <v>6.3650029510131807</v>
      </c>
      <c r="O141" s="11"/>
      <c r="P141" s="2">
        <f>--108117.61</f>
        <v>108117.61</v>
      </c>
      <c r="Q141" s="2"/>
      <c r="R141" s="19">
        <f t="shared" si="128"/>
        <v>6.2377007571375702E-2</v>
      </c>
      <c r="S141" s="2"/>
      <c r="T141" s="2">
        <v>31868</v>
      </c>
      <c r="U141" s="2"/>
      <c r="V141" s="19">
        <f t="shared" si="129"/>
        <v>1.0375471068460594E-2</v>
      </c>
      <c r="W141" s="2"/>
      <c r="X141" s="2">
        <f t="shared" si="130"/>
        <v>76249.61</v>
      </c>
      <c r="Y141" s="2"/>
      <c r="Z141" s="19">
        <f t="shared" si="131"/>
        <v>2.392670076565834</v>
      </c>
    </row>
    <row r="142" spans="1:26" s="24" customFormat="1" hidden="1" outlineLevel="1" x14ac:dyDescent="0.3">
      <c r="A142" s="44"/>
      <c r="B142" s="11" t="str">
        <f>CONCATENATE("          ", "9151", " - ", "MISC. INCOME")</f>
        <v xml:space="preserve">          9151 - MISC. INCOME</v>
      </c>
      <c r="C142" s="11"/>
      <c r="D142" s="2">
        <f>--11556.36</f>
        <v>11556.36</v>
      </c>
      <c r="E142" s="2"/>
      <c r="F142" s="19">
        <f t="shared" si="124"/>
        <v>7.6390814363445098E-3</v>
      </c>
      <c r="G142" s="2"/>
      <c r="H142" s="2">
        <v>43000</v>
      </c>
      <c r="I142" s="2"/>
      <c r="J142" s="19">
        <f t="shared" si="125"/>
        <v>1.5686320288394822E-2</v>
      </c>
      <c r="K142" s="2"/>
      <c r="L142" s="2">
        <f t="shared" si="126"/>
        <v>-31443.64</v>
      </c>
      <c r="M142" s="2"/>
      <c r="N142" s="19">
        <f t="shared" si="127"/>
        <v>-0.73124744186046509</v>
      </c>
      <c r="O142" s="11"/>
      <c r="P142" s="2">
        <f>--11556.36</f>
        <v>11556.36</v>
      </c>
      <c r="Q142" s="2"/>
      <c r="R142" s="19">
        <f t="shared" si="128"/>
        <v>6.6672871812237001E-3</v>
      </c>
      <c r="S142" s="2"/>
      <c r="T142" s="2">
        <v>43000</v>
      </c>
      <c r="U142" s="2"/>
      <c r="V142" s="19">
        <f t="shared" si="129"/>
        <v>1.3999788375292001E-2</v>
      </c>
      <c r="W142" s="2"/>
      <c r="X142" s="2">
        <f t="shared" si="130"/>
        <v>-31443.64</v>
      </c>
      <c r="Y142" s="2"/>
      <c r="Z142" s="19">
        <f t="shared" si="131"/>
        <v>-0.73124744186046509</v>
      </c>
    </row>
    <row r="143" spans="1:26" s="24" customFormat="1" hidden="1" outlineLevel="1" x14ac:dyDescent="0.3">
      <c r="A143" s="44"/>
      <c r="B143" s="11" t="str">
        <f>CONCATENATE("          ", "9152", " - ", "MISC. INCOME")</f>
        <v xml:space="preserve">          9152 - MISC. INCOME</v>
      </c>
      <c r="C143" s="11"/>
      <c r="D143" s="2">
        <f>--936.11</f>
        <v>936.11</v>
      </c>
      <c r="E143" s="2"/>
      <c r="F143" s="19">
        <f t="shared" si="124"/>
        <v>6.1879523685455095E-4</v>
      </c>
      <c r="G143" s="2"/>
      <c r="H143" s="2"/>
      <c r="I143" s="2"/>
      <c r="J143" s="19">
        <f t="shared" si="125"/>
        <v>0</v>
      </c>
      <c r="K143" s="2"/>
      <c r="L143" s="2">
        <f t="shared" si="126"/>
        <v>936.11</v>
      </c>
      <c r="M143" s="2"/>
      <c r="N143" s="19">
        <f t="shared" si="127"/>
        <v>0</v>
      </c>
      <c r="O143" s="11"/>
      <c r="P143" s="2">
        <f>--1003.03</f>
        <v>1003.03</v>
      </c>
      <c r="Q143" s="2"/>
      <c r="R143" s="19">
        <f t="shared" si="128"/>
        <v>5.786847295673385E-4</v>
      </c>
      <c r="S143" s="2"/>
      <c r="T143" s="2"/>
      <c r="U143" s="2"/>
      <c r="V143" s="19">
        <f t="shared" si="129"/>
        <v>0</v>
      </c>
      <c r="W143" s="2"/>
      <c r="X143" s="2">
        <f t="shared" si="130"/>
        <v>1003.03</v>
      </c>
      <c r="Y143" s="2"/>
      <c r="Z143" s="19">
        <f t="shared" si="131"/>
        <v>0</v>
      </c>
    </row>
    <row r="144" spans="1:26" s="24" customFormat="1" hidden="1" outlineLevel="1" x14ac:dyDescent="0.3">
      <c r="A144" s="44"/>
      <c r="B144" s="11" t="str">
        <f>CONCATENATE("          ", "9160", " - ", "MISC. INCOME")</f>
        <v xml:space="preserve">          9160 - MISC. INCOME</v>
      </c>
      <c r="C144" s="11"/>
      <c r="D144" s="2">
        <f>0</f>
        <v>0</v>
      </c>
      <c r="E144" s="2"/>
      <c r="F144" s="19">
        <f t="shared" si="124"/>
        <v>0</v>
      </c>
      <c r="G144" s="2"/>
      <c r="H144" s="2">
        <v>0</v>
      </c>
      <c r="I144" s="2"/>
      <c r="J144" s="19">
        <f t="shared" si="125"/>
        <v>0</v>
      </c>
      <c r="K144" s="2"/>
      <c r="L144" s="2">
        <f t="shared" si="126"/>
        <v>0</v>
      </c>
      <c r="M144" s="2"/>
      <c r="N144" s="19">
        <f t="shared" si="127"/>
        <v>0</v>
      </c>
      <c r="O144" s="11"/>
      <c r="P144" s="2">
        <f>0</f>
        <v>0</v>
      </c>
      <c r="Q144" s="2"/>
      <c r="R144" s="19">
        <f t="shared" si="128"/>
        <v>0</v>
      </c>
      <c r="S144" s="2"/>
      <c r="T144" s="2">
        <v>0</v>
      </c>
      <c r="U144" s="2"/>
      <c r="V144" s="19">
        <f t="shared" si="129"/>
        <v>0</v>
      </c>
      <c r="W144" s="2"/>
      <c r="X144" s="2">
        <f t="shared" si="130"/>
        <v>0</v>
      </c>
      <c r="Y144" s="2"/>
      <c r="Z144" s="19">
        <f t="shared" si="131"/>
        <v>0</v>
      </c>
    </row>
    <row r="145" spans="1:26" s="24" customFormat="1" hidden="1" outlineLevel="1" x14ac:dyDescent="0.3">
      <c r="A145" s="44"/>
      <c r="B145" s="11" t="str">
        <f>CONCATENATE("          ", "9163", " - ", "MISC. INCOME")</f>
        <v xml:space="preserve">          9163 - MISC. INCOME</v>
      </c>
      <c r="C145" s="11"/>
      <c r="D145" s="2">
        <f>--56991</f>
        <v>56991</v>
      </c>
      <c r="E145" s="2"/>
      <c r="F145" s="19">
        <f t="shared" si="124"/>
        <v>3.7672665972564884E-2</v>
      </c>
      <c r="G145" s="2"/>
      <c r="H145" s="2"/>
      <c r="I145" s="2"/>
      <c r="J145" s="19">
        <f t="shared" si="125"/>
        <v>0</v>
      </c>
      <c r="K145" s="2"/>
      <c r="L145" s="2">
        <f t="shared" si="126"/>
        <v>56991</v>
      </c>
      <c r="M145" s="2"/>
      <c r="N145" s="19">
        <f t="shared" si="127"/>
        <v>0</v>
      </c>
      <c r="O145" s="11"/>
      <c r="P145" s="2">
        <f>--63319.94</f>
        <v>63319.94</v>
      </c>
      <c r="Q145" s="2"/>
      <c r="R145" s="19">
        <f t="shared" si="128"/>
        <v>3.6531591632473701E-2</v>
      </c>
      <c r="S145" s="2"/>
      <c r="T145" s="2"/>
      <c r="U145" s="2"/>
      <c r="V145" s="19">
        <f t="shared" si="129"/>
        <v>0</v>
      </c>
      <c r="W145" s="2"/>
      <c r="X145" s="2">
        <f t="shared" si="130"/>
        <v>63319.94</v>
      </c>
      <c r="Y145" s="2"/>
      <c r="Z145" s="19">
        <f t="shared" si="131"/>
        <v>0</v>
      </c>
    </row>
    <row r="146" spans="1:26" x14ac:dyDescent="0.3">
      <c r="A146" s="9"/>
      <c r="B146" s="10"/>
      <c r="C146" s="10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O146" s="10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x14ac:dyDescent="0.3">
      <c r="A147" s="10"/>
      <c r="B147" s="26" t="s">
        <v>277</v>
      </c>
      <c r="C147" s="26"/>
      <c r="D147" s="21">
        <f>+D49-D51+D140</f>
        <v>324850.06999999983</v>
      </c>
      <c r="E147" s="13"/>
      <c r="F147" s="20">
        <f>IF(D$12=0,0,D147/D$12)</f>
        <v>0.21473510165244186</v>
      </c>
      <c r="G147" s="13"/>
      <c r="H147" s="21">
        <f>+H49-H51+H140</f>
        <v>586268.98764827941</v>
      </c>
      <c r="I147" s="13"/>
      <c r="J147" s="20">
        <f>IF(H$12=0,0,H147/H$12)</f>
        <v>0.21386983989311392</v>
      </c>
      <c r="K147" s="16"/>
      <c r="L147" s="21">
        <f>+D147-H147</f>
        <v>-261418.91764827957</v>
      </c>
      <c r="M147" s="16"/>
      <c r="N147" s="20">
        <f>IF(H147=0,0,L147/H147)</f>
        <v>-0.44590268828122415</v>
      </c>
      <c r="O147" s="25"/>
      <c r="P147" s="21">
        <f>+P49-P51+P140</f>
        <v>94137.369999999937</v>
      </c>
      <c r="Q147" s="13"/>
      <c r="R147" s="20">
        <f>IF(P$12=0,0,P147/P$12)</f>
        <v>5.4311295275944332E-2</v>
      </c>
      <c r="S147" s="13"/>
      <c r="T147" s="21">
        <f>+T49-T51+T140</f>
        <v>330032.98564175423</v>
      </c>
      <c r="U147" s="13"/>
      <c r="V147" s="20">
        <f>IF(T$12=0,0,T147/T$12)</f>
        <v>0.10745097571744984</v>
      </c>
      <c r="W147" s="16"/>
      <c r="X147" s="21">
        <f>+P147-T147</f>
        <v>-235895.6156417543</v>
      </c>
      <c r="Y147" s="16"/>
      <c r="Z147" s="20">
        <f>IF(T147=0,0,X147/T147)</f>
        <v>-0.71476375363829658</v>
      </c>
    </row>
    <row r="148" spans="1:26" x14ac:dyDescent="0.3">
      <c r="A148" s="9"/>
      <c r="B148" s="10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x14ac:dyDescent="0.3">
      <c r="A149" s="52"/>
      <c r="B149" s="10" t="s">
        <v>128</v>
      </c>
      <c r="C149" s="10"/>
      <c r="D149" s="4">
        <v>157141.93</v>
      </c>
      <c r="E149" s="4"/>
      <c r="F149" s="12">
        <f>IF(D$12=0,0,D149/D$12)</f>
        <v>0.10387526871215057</v>
      </c>
      <c r="G149" s="4"/>
      <c r="H149" s="4">
        <v>224393</v>
      </c>
      <c r="I149" s="4"/>
      <c r="J149" s="12">
        <f>IF(H$12=0,0,H149/H$12)</f>
        <v>8.1858150429622772E-2</v>
      </c>
      <c r="K149" s="4"/>
      <c r="L149" s="4">
        <f>+D149-H149</f>
        <v>-67251.070000000007</v>
      </c>
      <c r="M149" s="4"/>
      <c r="N149" s="12">
        <f>IF(H149=0,0,L149/H149)</f>
        <v>-0.29970217431025037</v>
      </c>
      <c r="O149" s="10"/>
      <c r="P149" s="4">
        <v>259011.20000000001</v>
      </c>
      <c r="Q149" s="4"/>
      <c r="R149" s="12">
        <f>IF(P$12=0,0,P149/P$12)</f>
        <v>0.1494330441032789</v>
      </c>
      <c r="S149" s="4"/>
      <c r="T149" s="4">
        <v>343987</v>
      </c>
      <c r="U149" s="4"/>
      <c r="V149" s="12">
        <f>IF(T$12=0,0,T149/T$12)</f>
        <v>0.11199407450817604</v>
      </c>
      <c r="W149" s="4"/>
      <c r="X149" s="4">
        <f>+P149-T149</f>
        <v>-84975.799999999988</v>
      </c>
      <c r="Y149" s="4"/>
      <c r="Z149" s="12">
        <f>IF(T149=0,0,X149/T149)</f>
        <v>-0.24703200993060781</v>
      </c>
    </row>
    <row r="150" spans="1:26" x14ac:dyDescent="0.3">
      <c r="A150" s="9"/>
      <c r="B150" s="10"/>
      <c r="C150" s="10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O150" s="10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ht="15" thickBot="1" x14ac:dyDescent="0.35">
      <c r="A151" s="10"/>
      <c r="B151" s="26" t="s">
        <v>126</v>
      </c>
      <c r="C151" s="26"/>
      <c r="D151" s="30">
        <f>+D147-D149</f>
        <v>167708.13999999984</v>
      </c>
      <c r="E151" s="13"/>
      <c r="F151" s="35">
        <f>IF(D$12=0,0,D151/D$12)</f>
        <v>0.11085983294029131</v>
      </c>
      <c r="G151" s="13"/>
      <c r="H151" s="30">
        <f>+H147-H149</f>
        <v>361875.98764827941</v>
      </c>
      <c r="I151" s="13"/>
      <c r="J151" s="35">
        <f>IF(H$12=0,0,H151/H$12)</f>
        <v>0.13201168946349115</v>
      </c>
      <c r="K151" s="16"/>
      <c r="L151" s="30">
        <f>D151-H151</f>
        <v>-194167.84764827957</v>
      </c>
      <c r="M151" s="16"/>
      <c r="N151" s="35">
        <f>IF(H151=0,0,L151/H151)</f>
        <v>-0.53655908177305878</v>
      </c>
      <c r="O151" s="25"/>
      <c r="P151" s="30">
        <f>+P147-P149</f>
        <v>-164873.83000000007</v>
      </c>
      <c r="Q151" s="13"/>
      <c r="R151" s="35">
        <f>IF(P$12=0,0,P151/P$12)</f>
        <v>-9.5121748827334554E-2</v>
      </c>
      <c r="S151" s="13"/>
      <c r="T151" s="30">
        <f>+T147-T149</f>
        <v>-13954.014358245768</v>
      </c>
      <c r="U151" s="13"/>
      <c r="V151" s="35">
        <f>IF(T$12=0,0,T151/T$12)</f>
        <v>-4.5430987907262039E-3</v>
      </c>
      <c r="W151" s="16"/>
      <c r="X151" s="30">
        <f>P151-T151</f>
        <v>-150919.81564175431</v>
      </c>
      <c r="Y151" s="16"/>
      <c r="Z151" s="35">
        <f>IF(T151=0,0,X151/T151)</f>
        <v>10.815512422958925</v>
      </c>
    </row>
    <row r="152" spans="1:26" ht="15" thickTop="1" x14ac:dyDescent="0.3">
      <c r="A152" s="9"/>
      <c r="B152" s="9"/>
      <c r="C152" s="9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x14ac:dyDescent="0.3">
      <c r="A153" s="9"/>
      <c r="B153" s="9"/>
      <c r="C153" s="9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ht="15" thickBot="1" x14ac:dyDescent="0.35">
      <c r="A154" s="10"/>
      <c r="B154" s="26" t="s">
        <v>294</v>
      </c>
      <c r="C154" s="26"/>
      <c r="D154" s="32">
        <f>SUM(D151:D153)</f>
        <v>167708.13999999984</v>
      </c>
      <c r="E154" s="13"/>
      <c r="F154" s="34">
        <f>IF(D$12=0,0,D154/D$12)</f>
        <v>0.11085983294029131</v>
      </c>
      <c r="G154" s="13"/>
      <c r="H154" s="32">
        <f>SUM(H151:H153)</f>
        <v>361875.98764827941</v>
      </c>
      <c r="I154" s="13"/>
      <c r="J154" s="34">
        <f>IF(H$12=0,0,H154/H$12)</f>
        <v>0.13201168946349115</v>
      </c>
      <c r="K154" s="16"/>
      <c r="L154" s="32">
        <f>+D154-H154</f>
        <v>-194167.84764827957</v>
      </c>
      <c r="M154" s="16"/>
      <c r="N154" s="34">
        <f>IF(H154=0,0,L154/H154)</f>
        <v>-0.53655908177305878</v>
      </c>
      <c r="O154" s="25"/>
      <c r="P154" s="32">
        <f>SUM(P151:P153)</f>
        <v>-164873.83000000007</v>
      </c>
      <c r="Q154" s="13"/>
      <c r="R154" s="34">
        <f>IF(P$12=0,0,P154/P$12)</f>
        <v>-9.5121748827334554E-2</v>
      </c>
      <c r="S154" s="13"/>
      <c r="T154" s="32">
        <f>SUM(T151:T153)</f>
        <v>-13954.014358245768</v>
      </c>
      <c r="U154" s="13"/>
      <c r="V154" s="34">
        <f>IF(T$12=0,0,T154/T$12)</f>
        <v>-4.5430987907262039E-3</v>
      </c>
      <c r="W154" s="16"/>
      <c r="X154" s="32">
        <f>+P154-T154</f>
        <v>-150919.81564175431</v>
      </c>
      <c r="Y154" s="16"/>
      <c r="Z154" s="34">
        <f>IF(T154=0,0,X154/T154)</f>
        <v>10.815512422958925</v>
      </c>
    </row>
    <row r="155" spans="1:26" ht="15" thickTop="1" x14ac:dyDescent="0.3">
      <c r="A155" s="9"/>
      <c r="C155" s="9"/>
      <c r="D155" s="17"/>
      <c r="E155" s="17"/>
      <c r="G155" s="17"/>
      <c r="H155" s="17"/>
      <c r="I155" s="17"/>
      <c r="J155" s="42"/>
      <c r="K155" s="17"/>
      <c r="L155" s="17"/>
      <c r="M155" s="17"/>
      <c r="P155" s="17"/>
      <c r="Q155" s="17"/>
      <c r="R155" s="42"/>
      <c r="S155" s="17"/>
      <c r="T155" s="17"/>
      <c r="U155" s="17"/>
      <c r="V155" s="42"/>
      <c r="W155" s="17"/>
      <c r="X155" s="17"/>
    </row>
    <row r="156" spans="1:26" x14ac:dyDescent="0.3">
      <c r="A156" s="9"/>
      <c r="B156" s="61">
        <v>44470.835443981479</v>
      </c>
      <c r="D156" s="17"/>
      <c r="E156" s="17"/>
      <c r="G156" s="17"/>
      <c r="H156" s="17"/>
      <c r="I156" s="17"/>
      <c r="J156" s="42"/>
      <c r="K156" s="17"/>
      <c r="L156" s="17"/>
      <c r="M156" s="17"/>
      <c r="P156" s="17"/>
      <c r="Q156" s="17"/>
      <c r="R156" s="42"/>
      <c r="S156" s="17"/>
      <c r="T156" s="17"/>
      <c r="U156" s="17"/>
      <c r="V156" s="42"/>
      <c r="W156" s="17"/>
      <c r="X156" s="17"/>
    </row>
    <row r="157" spans="1:26" x14ac:dyDescent="0.3">
      <c r="A157" s="9"/>
      <c r="B157" s="58" t="s">
        <v>56</v>
      </c>
      <c r="D157" s="17"/>
      <c r="E157" s="17"/>
      <c r="G157" s="17"/>
      <c r="H157" s="17"/>
      <c r="I157" s="17"/>
      <c r="J157" s="42"/>
      <c r="K157" s="17"/>
      <c r="L157" s="17"/>
      <c r="M157" s="17"/>
      <c r="P157" s="17"/>
      <c r="Q157" s="17"/>
      <c r="R157" s="42"/>
      <c r="S157" s="17"/>
      <c r="T157" s="17"/>
      <c r="U157" s="17"/>
      <c r="V157" s="42"/>
      <c r="W157" s="17"/>
      <c r="X157" s="17"/>
    </row>
    <row r="158" spans="1:26" x14ac:dyDescent="0.3">
      <c r="A158" s="9"/>
      <c r="B158" s="55"/>
      <c r="D158" s="17"/>
      <c r="E158" s="17"/>
      <c r="G158" s="17"/>
      <c r="H158" s="17"/>
      <c r="I158" s="17"/>
      <c r="J158" s="42"/>
      <c r="K158" s="17"/>
      <c r="L158" s="17"/>
      <c r="M158" s="17"/>
      <c r="P158" s="17"/>
      <c r="Q158" s="17"/>
      <c r="R158" s="42"/>
      <c r="S158" s="17"/>
      <c r="T158" s="17"/>
      <c r="U158" s="17"/>
      <c r="V158" s="42"/>
      <c r="W158" s="17"/>
      <c r="X158" s="17"/>
    </row>
    <row r="159" spans="1:26" x14ac:dyDescent="0.3">
      <c r="D159" s="17"/>
      <c r="E159" s="17"/>
      <c r="G159" s="17"/>
      <c r="H159" s="17"/>
      <c r="I159" s="17"/>
      <c r="J159" s="42"/>
      <c r="K159" s="17"/>
      <c r="L159" s="17"/>
      <c r="M159" s="17"/>
      <c r="P159" s="17"/>
      <c r="Q159" s="17"/>
      <c r="R159" s="42"/>
      <c r="S159" s="17"/>
      <c r="T159" s="17"/>
      <c r="U159" s="17"/>
      <c r="V159" s="42"/>
      <c r="W159" s="17"/>
      <c r="X159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313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16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314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1856168.02</v>
      </c>
      <c r="E12" s="4"/>
      <c r="F12" s="12"/>
      <c r="G12" s="4"/>
      <c r="H12" s="4">
        <f>SUM(OSRRefH13x_0)</f>
        <v>3117379</v>
      </c>
      <c r="I12" s="4"/>
      <c r="J12" s="12"/>
      <c r="K12" s="4"/>
      <c r="L12" s="4">
        <f t="shared" ref="L12:L18" si="0">+D12-H12</f>
        <v>-1261210.98</v>
      </c>
      <c r="M12" s="4"/>
      <c r="N12" s="12">
        <f t="shared" ref="N12:N18" si="1">IF(H12=0,0,L12/H12)</f>
        <v>-0.40457415668739666</v>
      </c>
      <c r="O12" s="10"/>
      <c r="P12" s="4">
        <f>SUM(OSRRefP13x_0)</f>
        <v>2171972.5399999996</v>
      </c>
      <c r="Q12" s="4"/>
      <c r="R12" s="12"/>
      <c r="S12" s="4"/>
      <c r="T12" s="4">
        <f>SUM(OSRRefT13x_0)</f>
        <v>3725365</v>
      </c>
      <c r="U12" s="4"/>
      <c r="V12" s="12"/>
      <c r="W12" s="4"/>
      <c r="X12" s="4">
        <f t="shared" ref="X12:X18" si="2">+P12-T12</f>
        <v>-1553392.4600000004</v>
      </c>
      <c r="Y12" s="4"/>
      <c r="Z12" s="12">
        <f t="shared" ref="Z12:Z18" si="3">IF(T12=0,0,X12/T12)</f>
        <v>-0.41697725189343876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--1519627.85</f>
        <v>1519627.85</v>
      </c>
      <c r="E13" s="2"/>
      <c r="F13" s="19"/>
      <c r="G13" s="2"/>
      <c r="H13" s="2">
        <v>3082022</v>
      </c>
      <c r="I13" s="2"/>
      <c r="J13" s="19"/>
      <c r="K13" s="2"/>
      <c r="L13" s="2">
        <f t="shared" si="0"/>
        <v>-1562394.15</v>
      </c>
      <c r="M13" s="2"/>
      <c r="N13" s="19">
        <f t="shared" si="1"/>
        <v>-0.50693802639955199</v>
      </c>
      <c r="O13" s="11"/>
      <c r="P13" s="2">
        <f>--1789632.44</f>
        <v>1789632.44</v>
      </c>
      <c r="Q13" s="2"/>
      <c r="R13" s="19"/>
      <c r="S13" s="2"/>
      <c r="T13" s="2">
        <v>3679677</v>
      </c>
      <c r="U13" s="2"/>
      <c r="V13" s="19"/>
      <c r="W13" s="2"/>
      <c r="X13" s="2">
        <f t="shared" si="2"/>
        <v>-1890044.56</v>
      </c>
      <c r="Y13" s="2"/>
      <c r="Z13" s="19">
        <f t="shared" si="3"/>
        <v>-0.51364414865761321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--402611.72</f>
        <v>402611.72</v>
      </c>
      <c r="E14" s="2"/>
      <c r="F14" s="19"/>
      <c r="G14" s="2"/>
      <c r="H14" s="2">
        <v>35357</v>
      </c>
      <c r="I14" s="2"/>
      <c r="J14" s="19"/>
      <c r="K14" s="2"/>
      <c r="L14" s="2">
        <f t="shared" si="0"/>
        <v>367254.72</v>
      </c>
      <c r="M14" s="2"/>
      <c r="N14" s="19">
        <f t="shared" si="1"/>
        <v>10.387044149673331</v>
      </c>
      <c r="O14" s="11"/>
      <c r="P14" s="2">
        <f>--482678.24</f>
        <v>482678.24</v>
      </c>
      <c r="Q14" s="2"/>
      <c r="R14" s="19"/>
      <c r="S14" s="2"/>
      <c r="T14" s="2">
        <v>45688</v>
      </c>
      <c r="U14" s="2"/>
      <c r="V14" s="19"/>
      <c r="W14" s="2"/>
      <c r="X14" s="2">
        <f t="shared" si="2"/>
        <v>436990.24</v>
      </c>
      <c r="Y14" s="2"/>
      <c r="Z14" s="19">
        <f t="shared" si="3"/>
        <v>9.5646611801786019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--389.5</f>
        <v>389.5</v>
      </c>
      <c r="E15" s="2"/>
      <c r="F15" s="19"/>
      <c r="G15" s="2"/>
      <c r="H15" s="2"/>
      <c r="I15" s="2"/>
      <c r="J15" s="19"/>
      <c r="K15" s="2"/>
      <c r="L15" s="2">
        <f t="shared" si="0"/>
        <v>389.5</v>
      </c>
      <c r="M15" s="2"/>
      <c r="N15" s="19">
        <f t="shared" si="1"/>
        <v>0</v>
      </c>
      <c r="O15" s="11"/>
      <c r="P15" s="2">
        <f>--389.5</f>
        <v>389.5</v>
      </c>
      <c r="Q15" s="2"/>
      <c r="R15" s="19"/>
      <c r="S15" s="2"/>
      <c r="T15" s="2"/>
      <c r="U15" s="2"/>
      <c r="V15" s="19"/>
      <c r="W15" s="2"/>
      <c r="X15" s="2">
        <f t="shared" si="2"/>
        <v>389.5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--2713.4</f>
        <v>2713.4</v>
      </c>
      <c r="E16" s="2"/>
      <c r="F16" s="19"/>
      <c r="G16" s="2"/>
      <c r="H16" s="2"/>
      <c r="I16" s="2"/>
      <c r="J16" s="19"/>
      <c r="K16" s="2"/>
      <c r="L16" s="2">
        <f t="shared" si="0"/>
        <v>2713.4</v>
      </c>
      <c r="M16" s="2"/>
      <c r="N16" s="19">
        <f t="shared" si="1"/>
        <v>0</v>
      </c>
      <c r="O16" s="11"/>
      <c r="P16" s="2">
        <f>--2733.6</f>
        <v>2733.6</v>
      </c>
      <c r="Q16" s="2"/>
      <c r="R16" s="19"/>
      <c r="S16" s="2"/>
      <c r="T16" s="2"/>
      <c r="U16" s="2"/>
      <c r="V16" s="19"/>
      <c r="W16" s="2"/>
      <c r="X16" s="2">
        <f t="shared" si="2"/>
        <v>2733.6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-52638.54</f>
        <v>-52638.54</v>
      </c>
      <c r="E17" s="2"/>
      <c r="F17" s="19"/>
      <c r="G17" s="2"/>
      <c r="H17" s="2"/>
      <c r="I17" s="2"/>
      <c r="J17" s="19"/>
      <c r="K17" s="2"/>
      <c r="L17" s="2">
        <f t="shared" si="0"/>
        <v>-52638.54</v>
      </c>
      <c r="M17" s="2"/>
      <c r="N17" s="19">
        <f t="shared" si="1"/>
        <v>0</v>
      </c>
      <c r="O17" s="11"/>
      <c r="P17" s="2">
        <f>-85423.75</f>
        <v>-85423.75</v>
      </c>
      <c r="Q17" s="2"/>
      <c r="R17" s="19"/>
      <c r="S17" s="2"/>
      <c r="T17" s="2"/>
      <c r="U17" s="2"/>
      <c r="V17" s="19"/>
      <c r="W17" s="2"/>
      <c r="X17" s="2">
        <f t="shared" si="2"/>
        <v>-85423.75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"4300", " - ", "NON-TAX RETURNS")</f>
        <v xml:space="preserve">          4300 - NON-TAX RETURNS</v>
      </c>
      <c r="C18" s="11"/>
      <c r="D18" s="2">
        <f>-16535.91</f>
        <v>-16535.91</v>
      </c>
      <c r="E18" s="2"/>
      <c r="F18" s="19"/>
      <c r="G18" s="2"/>
      <c r="H18" s="2"/>
      <c r="I18" s="2"/>
      <c r="J18" s="19"/>
      <c r="K18" s="2"/>
      <c r="L18" s="2">
        <f t="shared" si="0"/>
        <v>-16535.91</v>
      </c>
      <c r="M18" s="2"/>
      <c r="N18" s="19">
        <f t="shared" si="1"/>
        <v>0</v>
      </c>
      <c r="O18" s="11"/>
      <c r="P18" s="2">
        <f>-18037.49</f>
        <v>-18037.490000000002</v>
      </c>
      <c r="Q18" s="2"/>
      <c r="R18" s="19"/>
      <c r="S18" s="2"/>
      <c r="T18" s="2"/>
      <c r="U18" s="2"/>
      <c r="V18" s="19"/>
      <c r="W18" s="2"/>
      <c r="X18" s="2">
        <f t="shared" si="2"/>
        <v>-18037.490000000002</v>
      </c>
      <c r="Y18" s="2"/>
      <c r="Z18" s="19">
        <f t="shared" si="3"/>
        <v>0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5" t="s">
        <v>257</v>
      </c>
      <c r="C20" s="10"/>
      <c r="D20" s="4">
        <f>SUM(OSRRefD16x_0)</f>
        <v>1284131.0999999999</v>
      </c>
      <c r="E20" s="4"/>
      <c r="F20" s="12">
        <f t="shared" ref="F20:F53" si="4">IF(D$12=0,0,D20/D$12)</f>
        <v>0.69181835165978123</v>
      </c>
      <c r="G20" s="4"/>
      <c r="H20" s="4">
        <f>SUM(OSRRefH16x_0)</f>
        <v>2192065</v>
      </c>
      <c r="I20" s="4"/>
      <c r="J20" s="12">
        <f t="shared" ref="J20:J53" si="5">IF(H$12=0,0,H20/H$12)</f>
        <v>0.70317564851755276</v>
      </c>
      <c r="K20" s="4"/>
      <c r="L20" s="4">
        <f t="shared" ref="L20:L53" si="6">+D20-H20</f>
        <v>-907933.90000000014</v>
      </c>
      <c r="M20" s="4"/>
      <c r="N20" s="12">
        <f t="shared" ref="N20:N53" si="7">IF(H20=0,0,L20/H20)</f>
        <v>-0.41419113940508157</v>
      </c>
      <c r="O20" s="10"/>
      <c r="P20" s="4">
        <f>SUM(OSRRefP16x_0)</f>
        <v>1493924.01</v>
      </c>
      <c r="Q20" s="4"/>
      <c r="R20" s="12">
        <f t="shared" ref="R20:R53" si="8">IF(P$12=0,0,P20/P$12)</f>
        <v>0.68781901358660835</v>
      </c>
      <c r="S20" s="4"/>
      <c r="T20" s="4">
        <f>SUM(OSRRefT16x_0)</f>
        <v>2644450</v>
      </c>
      <c r="U20" s="4"/>
      <c r="V20" s="12">
        <f t="shared" ref="V20:V53" si="9">IF(T$12=0,0,T20/T$12)</f>
        <v>0.70984990732451725</v>
      </c>
      <c r="W20" s="4"/>
      <c r="X20" s="4">
        <f t="shared" ref="X20:X53" si="10">+P20-T20</f>
        <v>-1150525.99</v>
      </c>
      <c r="Y20" s="4"/>
      <c r="Z20" s="12">
        <f t="shared" ref="Z20:Z53" si="11">IF(T20=0,0,X20/T20)</f>
        <v>-0.43507193934466526</v>
      </c>
    </row>
    <row r="21" spans="1:26" s="24" customFormat="1" hidden="1" outlineLevel="1" x14ac:dyDescent="0.3">
      <c r="A21" s="44"/>
      <c r="B21" s="11" t="str">
        <f>CONCATENATE("          ", "5000", " - ", "PURCHASES @ COST")</f>
        <v xml:space="preserve">          5000 - PURCHASES @ COST</v>
      </c>
      <c r="C21" s="11"/>
      <c r="D21" s="2">
        <v>785954.3</v>
      </c>
      <c r="E21" s="2"/>
      <c r="F21" s="19">
        <f t="shared" si="4"/>
        <v>0.42342842432981903</v>
      </c>
      <c r="G21" s="2"/>
      <c r="H21" s="2">
        <v>2192065</v>
      </c>
      <c r="I21" s="2"/>
      <c r="J21" s="19">
        <f t="shared" si="5"/>
        <v>0.70317564851755276</v>
      </c>
      <c r="K21" s="2"/>
      <c r="L21" s="2">
        <f t="shared" si="6"/>
        <v>-1406110.7</v>
      </c>
      <c r="M21" s="2"/>
      <c r="N21" s="19">
        <f t="shared" si="7"/>
        <v>-0.64145483824612859</v>
      </c>
      <c r="O21" s="11"/>
      <c r="P21" s="2">
        <v>1228090.51</v>
      </c>
      <c r="Q21" s="2"/>
      <c r="R21" s="19">
        <f t="shared" si="8"/>
        <v>0.56542635202929414</v>
      </c>
      <c r="S21" s="2"/>
      <c r="T21" s="2">
        <v>2644450</v>
      </c>
      <c r="U21" s="2"/>
      <c r="V21" s="19">
        <f t="shared" si="9"/>
        <v>0.70984990732451725</v>
      </c>
      <c r="W21" s="2"/>
      <c r="X21" s="2">
        <f t="shared" si="10"/>
        <v>-1416359.49</v>
      </c>
      <c r="Y21" s="2"/>
      <c r="Z21" s="19">
        <f t="shared" si="11"/>
        <v>-0.5355970012668041</v>
      </c>
    </row>
    <row r="22" spans="1:26" s="24" customFormat="1" hidden="1" outlineLevel="1" x14ac:dyDescent="0.3">
      <c r="A22" s="44"/>
      <c r="B22" s="11" t="str">
        <f>CONCATENATE("          ", "5001", " - ", "PURCHASES @ COST-NEW TEXT")</f>
        <v xml:space="preserve">          5001 - PURCHASES @ COST-NEW TEXT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"5002", " - ", "PURCHASES @ COST-USED TEXT")</f>
        <v xml:space="preserve">          5002 - PURCHASES @ COST-USED TEXT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"5004", " - ", "PURCHASES @ COST-DIGITAL TEXT")</f>
        <v xml:space="preserve">          5004 - PURCHASES @ COST-DIGITAL TEXT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"5026", " - ", "PURCHASES @ COST-WRITING INSTR")</f>
        <v xml:space="preserve">          5026 - PURCHASES @ COST-WRITING INSTR</v>
      </c>
      <c r="C25" s="11"/>
      <c r="D25" s="2">
        <v>0</v>
      </c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"5027", " - ", "PURCHASES @ COST-SCHOOL SUPPLI")</f>
        <v xml:space="preserve">          5027 - PURCHASES @ COST-SCHOOL SUPPLI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"5028", " - ", "PURCHASES @ COST-ART/TECH")</f>
        <v xml:space="preserve">          5028 - PURCHASES @ COST-ART/TECH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"5031", " - ", "PURCHASES @ COST-FOOD")</f>
        <v xml:space="preserve">          5031 - PURCHASES @ COST-FOOD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"5040", " - ", "PURCHASES @ COST-LOGO CLOTHING")</f>
        <v xml:space="preserve">          5040 - PURCHASES @ COST-LOGO CLOTHING</v>
      </c>
      <c r="C29" s="11"/>
      <c r="D29" s="2">
        <v>0</v>
      </c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"5041", " - ", "PURCHASES @ COST-LOGO GIFTS")</f>
        <v xml:space="preserve">          5041 - PURCHASES @ COST-LOGO GIFTS</v>
      </c>
      <c r="C30" s="11"/>
      <c r="D30" s="2">
        <v>0</v>
      </c>
      <c r="E30" s="2"/>
      <c r="F30" s="19">
        <f t="shared" si="4"/>
        <v>0</v>
      </c>
      <c r="G30" s="2"/>
      <c r="H30" s="2"/>
      <c r="I30" s="2"/>
      <c r="J30" s="19">
        <f t="shared" si="5"/>
        <v>0</v>
      </c>
      <c r="K30" s="2"/>
      <c r="L30" s="2">
        <f t="shared" si="6"/>
        <v>0</v>
      </c>
      <c r="M30" s="2"/>
      <c r="N30" s="19">
        <f t="shared" si="7"/>
        <v>0</v>
      </c>
      <c r="O30" s="11"/>
      <c r="P30" s="2">
        <v>0</v>
      </c>
      <c r="Q30" s="2"/>
      <c r="R30" s="19">
        <f t="shared" si="8"/>
        <v>0</v>
      </c>
      <c r="S30" s="2"/>
      <c r="T30" s="2"/>
      <c r="U30" s="2"/>
      <c r="V30" s="19">
        <f t="shared" si="9"/>
        <v>0</v>
      </c>
      <c r="W30" s="2"/>
      <c r="X30" s="2">
        <f t="shared" si="10"/>
        <v>0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"5042", " - ", "PURCHASES @ COST-EVERYDAY GIFT")</f>
        <v xml:space="preserve">          5042 - PURCHASES @ COST-EVERYDAY GIFT</v>
      </c>
      <c r="C31" s="11"/>
      <c r="D31" s="2">
        <v>0</v>
      </c>
      <c r="E31" s="2"/>
      <c r="F31" s="19">
        <f t="shared" si="4"/>
        <v>0</v>
      </c>
      <c r="G31" s="2"/>
      <c r="H31" s="2"/>
      <c r="I31" s="2"/>
      <c r="J31" s="19">
        <f t="shared" si="5"/>
        <v>0</v>
      </c>
      <c r="K31" s="2"/>
      <c r="L31" s="2">
        <f t="shared" si="6"/>
        <v>0</v>
      </c>
      <c r="M31" s="2"/>
      <c r="N31" s="19">
        <f t="shared" si="7"/>
        <v>0</v>
      </c>
      <c r="O31" s="11"/>
      <c r="P31" s="2">
        <v>0</v>
      </c>
      <c r="Q31" s="2"/>
      <c r="R31" s="19">
        <f t="shared" si="8"/>
        <v>0</v>
      </c>
      <c r="S31" s="2"/>
      <c r="T31" s="2"/>
      <c r="U31" s="2"/>
      <c r="V31" s="19">
        <f t="shared" si="9"/>
        <v>0</v>
      </c>
      <c r="W31" s="2"/>
      <c r="X31" s="2">
        <f t="shared" si="10"/>
        <v>0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"5043", " - ", "PURCHASES @ COST-CARDS")</f>
        <v xml:space="preserve">          5043 - PURCHASES @ COST-CARDS</v>
      </c>
      <c r="C32" s="11"/>
      <c r="D32" s="2">
        <v>0</v>
      </c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"5044", " - ", "PURCHASES @ COST-ACCESSORIES")</f>
        <v xml:space="preserve">          5044 - PURCHASES @ COST-ACCESSORIES</v>
      </c>
      <c r="C33" s="11"/>
      <c r="D33" s="2">
        <v>0</v>
      </c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"5045", " - ", "PURCHASES @ COST-SPECIAL ORDER")</f>
        <v xml:space="preserve">          5045 - PURCHASES @ COST-SPECIAL ORDER</v>
      </c>
      <c r="C34" s="11"/>
      <c r="D34" s="2">
        <v>0</v>
      </c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"5081", " - ", "PURCHASES @ COST-ELECTRONICS")</f>
        <v xml:space="preserve">          5081 - PURCHASES @ COST-ELECTRONICS</v>
      </c>
      <c r="C35" s="11"/>
      <c r="D35" s="2">
        <v>0</v>
      </c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"5082", " - ", "PURCHASES @ COST-COMPUTER HARD")</f>
        <v xml:space="preserve">          5082 - PURCHASES @ COST-COMPUTER HARD</v>
      </c>
      <c r="C36" s="11"/>
      <c r="D36" s="2">
        <v>-23501.200000000001</v>
      </c>
      <c r="E36" s="2"/>
      <c r="F36" s="19">
        <f t="shared" si="4"/>
        <v>-1.2661138295012754E-2</v>
      </c>
      <c r="G36" s="2"/>
      <c r="H36" s="2"/>
      <c r="I36" s="2"/>
      <c r="J36" s="19">
        <f t="shared" si="5"/>
        <v>0</v>
      </c>
      <c r="K36" s="2"/>
      <c r="L36" s="2">
        <f t="shared" si="6"/>
        <v>-23501.200000000001</v>
      </c>
      <c r="M36" s="2"/>
      <c r="N36" s="19">
        <f t="shared" si="7"/>
        <v>0</v>
      </c>
      <c r="O36" s="11"/>
      <c r="P36" s="2">
        <v>-34403.82</v>
      </c>
      <c r="Q36" s="2"/>
      <c r="R36" s="19">
        <f t="shared" si="8"/>
        <v>-1.5839896392060283E-2</v>
      </c>
      <c r="S36" s="2"/>
      <c r="T36" s="2"/>
      <c r="U36" s="2"/>
      <c r="V36" s="19">
        <f t="shared" si="9"/>
        <v>0</v>
      </c>
      <c r="W36" s="2"/>
      <c r="X36" s="2">
        <f t="shared" si="10"/>
        <v>-34403.82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"5083", " - ", "PURCHASES @ COST-COMPUTER EQUI")</f>
        <v xml:space="preserve">          5083 - PURCHASES @ COST-COMPUTER EQUI</v>
      </c>
      <c r="C37" s="11"/>
      <c r="D37" s="2">
        <v>0</v>
      </c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"5085", " - ", "PURCHASES @ COST-SOFTWARE")</f>
        <v xml:space="preserve">          5085 - PURCHASES @ COST-SOFTWARE</v>
      </c>
      <c r="C38" s="11"/>
      <c r="D38" s="2">
        <v>0</v>
      </c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s="24" customFormat="1" hidden="1" outlineLevel="1" x14ac:dyDescent="0.3">
      <c r="A39" s="44"/>
      <c r="B39" s="11" t="str">
        <f>CONCATENATE("          ", "5086", " - ", "PURCHASES @ COST-COMPUTER SUPP")</f>
        <v xml:space="preserve">          5086 - PURCHASES @ COST-COMPUTER SUPP</v>
      </c>
      <c r="C39" s="11"/>
      <c r="D39" s="2">
        <v>0</v>
      </c>
      <c r="E39" s="2"/>
      <c r="F39" s="19">
        <f t="shared" si="4"/>
        <v>0</v>
      </c>
      <c r="G39" s="2"/>
      <c r="H39" s="2"/>
      <c r="I39" s="2"/>
      <c r="J39" s="19">
        <f t="shared" si="5"/>
        <v>0</v>
      </c>
      <c r="K39" s="2"/>
      <c r="L39" s="2">
        <f t="shared" si="6"/>
        <v>0</v>
      </c>
      <c r="M39" s="2"/>
      <c r="N39" s="19">
        <f t="shared" si="7"/>
        <v>0</v>
      </c>
      <c r="O39" s="11"/>
      <c r="P39" s="2">
        <v>0</v>
      </c>
      <c r="Q39" s="2"/>
      <c r="R39" s="19">
        <f t="shared" si="8"/>
        <v>0</v>
      </c>
      <c r="S39" s="2"/>
      <c r="T39" s="2"/>
      <c r="U39" s="2"/>
      <c r="V39" s="19">
        <f t="shared" si="9"/>
        <v>0</v>
      </c>
      <c r="W39" s="2"/>
      <c r="X39" s="2">
        <f t="shared" si="10"/>
        <v>0</v>
      </c>
      <c r="Y39" s="2"/>
      <c r="Z39" s="19">
        <f t="shared" si="11"/>
        <v>0</v>
      </c>
    </row>
    <row r="40" spans="1:26" s="24" customFormat="1" hidden="1" outlineLevel="1" x14ac:dyDescent="0.3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-589608.85</v>
      </c>
      <c r="E40" s="2"/>
      <c r="F40" s="19">
        <f t="shared" si="4"/>
        <v>-0.31764842602988064</v>
      </c>
      <c r="G40" s="2"/>
      <c r="H40" s="2"/>
      <c r="I40" s="2"/>
      <c r="J40" s="19">
        <f t="shared" si="5"/>
        <v>0</v>
      </c>
      <c r="K40" s="2"/>
      <c r="L40" s="2">
        <f t="shared" si="6"/>
        <v>-589608.85</v>
      </c>
      <c r="M40" s="2"/>
      <c r="N40" s="19">
        <f t="shared" si="7"/>
        <v>0</v>
      </c>
      <c r="O40" s="11"/>
      <c r="P40" s="2">
        <v>-1033340.17</v>
      </c>
      <c r="Q40" s="2"/>
      <c r="R40" s="19">
        <f t="shared" si="8"/>
        <v>-0.47576115764336518</v>
      </c>
      <c r="S40" s="2"/>
      <c r="T40" s="2"/>
      <c r="U40" s="2"/>
      <c r="V40" s="19">
        <f t="shared" si="9"/>
        <v>0</v>
      </c>
      <c r="W40" s="2"/>
      <c r="X40" s="2">
        <f t="shared" si="10"/>
        <v>-1033340.17</v>
      </c>
      <c r="Y40" s="2"/>
      <c r="Z40" s="19">
        <f t="shared" si="11"/>
        <v>0</v>
      </c>
    </row>
    <row r="41" spans="1:26" s="24" customFormat="1" hidden="1" outlineLevel="1" x14ac:dyDescent="0.3">
      <c r="A41" s="44"/>
      <c r="B41" s="11" t="str">
        <f>CONCATENATE("          ", "5300", " - ", "COG$ OFFSET")</f>
        <v xml:space="preserve">          5300 - COG$ OFFSET</v>
      </c>
      <c r="C41" s="11"/>
      <c r="D41" s="2">
        <v>1104681.67</v>
      </c>
      <c r="E41" s="2"/>
      <c r="F41" s="19">
        <f t="shared" si="4"/>
        <v>0.59514098836806806</v>
      </c>
      <c r="G41" s="2"/>
      <c r="H41" s="2"/>
      <c r="I41" s="2"/>
      <c r="J41" s="19">
        <f t="shared" si="5"/>
        <v>0</v>
      </c>
      <c r="K41" s="2"/>
      <c r="L41" s="2">
        <f t="shared" si="6"/>
        <v>1104681.67</v>
      </c>
      <c r="M41" s="2"/>
      <c r="N41" s="19">
        <f t="shared" si="7"/>
        <v>0</v>
      </c>
      <c r="O41" s="11"/>
      <c r="P41" s="2">
        <v>1323367.17</v>
      </c>
      <c r="Q41" s="2"/>
      <c r="R41" s="19">
        <f t="shared" si="8"/>
        <v>0.60929277218210143</v>
      </c>
      <c r="S41" s="2"/>
      <c r="T41" s="2"/>
      <c r="U41" s="2"/>
      <c r="V41" s="19">
        <f t="shared" si="9"/>
        <v>0</v>
      </c>
      <c r="W41" s="2"/>
      <c r="X41" s="2">
        <f t="shared" si="10"/>
        <v>1323367.17</v>
      </c>
      <c r="Y41" s="2"/>
      <c r="Z41" s="19">
        <f t="shared" si="11"/>
        <v>0</v>
      </c>
    </row>
    <row r="42" spans="1:26" s="24" customFormat="1" hidden="1" outlineLevel="1" x14ac:dyDescent="0.3">
      <c r="A42" s="44"/>
      <c r="B42" s="11" t="str">
        <f>CONCATENATE("          ", "5500", " - ", "FREIGHT-IN")</f>
        <v xml:space="preserve">          5500 - FREIGHT-IN</v>
      </c>
      <c r="C42" s="11"/>
      <c r="D42" s="2">
        <v>6605.18</v>
      </c>
      <c r="E42" s="2"/>
      <c r="F42" s="19">
        <f t="shared" si="4"/>
        <v>3.558503286787583E-3</v>
      </c>
      <c r="G42" s="2"/>
      <c r="H42" s="2"/>
      <c r="I42" s="2"/>
      <c r="J42" s="19">
        <f t="shared" si="5"/>
        <v>0</v>
      </c>
      <c r="K42" s="2"/>
      <c r="L42" s="2">
        <f t="shared" si="6"/>
        <v>6605.18</v>
      </c>
      <c r="M42" s="2"/>
      <c r="N42" s="19">
        <f t="shared" si="7"/>
        <v>0</v>
      </c>
      <c r="O42" s="11"/>
      <c r="P42" s="2">
        <v>10210.32</v>
      </c>
      <c r="Q42" s="2"/>
      <c r="R42" s="19">
        <f t="shared" si="8"/>
        <v>4.7009434106381484E-3</v>
      </c>
      <c r="S42" s="2"/>
      <c r="T42" s="2"/>
      <c r="U42" s="2"/>
      <c r="V42" s="19">
        <f t="shared" si="9"/>
        <v>0</v>
      </c>
      <c r="W42" s="2"/>
      <c r="X42" s="2">
        <f t="shared" si="10"/>
        <v>10210.32</v>
      </c>
      <c r="Y42" s="2"/>
      <c r="Z42" s="19">
        <f t="shared" si="11"/>
        <v>0</v>
      </c>
    </row>
    <row r="43" spans="1:26" s="24" customFormat="1" hidden="1" outlineLevel="1" x14ac:dyDescent="0.3">
      <c r="A43" s="44"/>
      <c r="B43" s="11" t="str">
        <f>CONCATENATE("          ", "5501", " - ", "FREIGHT-IN-NEW TEXT")</f>
        <v xml:space="preserve">          5501 - FREIGHT-IN-NEW TEXT</v>
      </c>
      <c r="C43" s="11"/>
      <c r="D43" s="2">
        <v>0</v>
      </c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0</v>
      </c>
      <c r="Q43" s="2"/>
      <c r="R43" s="19">
        <f t="shared" si="8"/>
        <v>0</v>
      </c>
      <c r="S43" s="2"/>
      <c r="T43" s="2"/>
      <c r="U43" s="2"/>
      <c r="V43" s="19">
        <f t="shared" si="9"/>
        <v>0</v>
      </c>
      <c r="W43" s="2"/>
      <c r="X43" s="2">
        <f t="shared" si="10"/>
        <v>0</v>
      </c>
      <c r="Y43" s="2"/>
      <c r="Z43" s="19">
        <f t="shared" si="11"/>
        <v>0</v>
      </c>
    </row>
    <row r="44" spans="1:26" s="24" customFormat="1" hidden="1" outlineLevel="1" x14ac:dyDescent="0.3">
      <c r="A44" s="44"/>
      <c r="B44" s="11" t="str">
        <f>CONCATENATE("          ", "5502", " - ", "FREIGHT-IN-USED TEXT")</f>
        <v xml:space="preserve">          5502 - FREIGHT-IN-USED TEXT</v>
      </c>
      <c r="C44" s="11"/>
      <c r="D44" s="2">
        <v>0</v>
      </c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0</v>
      </c>
      <c r="Q44" s="2"/>
      <c r="R44" s="19">
        <f t="shared" si="8"/>
        <v>0</v>
      </c>
      <c r="S44" s="2"/>
      <c r="T44" s="2"/>
      <c r="U44" s="2"/>
      <c r="V44" s="19">
        <f t="shared" si="9"/>
        <v>0</v>
      </c>
      <c r="W44" s="2"/>
      <c r="X44" s="2">
        <f t="shared" si="10"/>
        <v>0</v>
      </c>
      <c r="Y44" s="2"/>
      <c r="Z44" s="19">
        <f t="shared" si="11"/>
        <v>0</v>
      </c>
    </row>
    <row r="45" spans="1:26" s="24" customFormat="1" hidden="1" outlineLevel="1" x14ac:dyDescent="0.3">
      <c r="A45" s="44"/>
      <c r="B45" s="11" t="str">
        <f>CONCATENATE("          ", "5518", " - ", "FREIGHT-IN-STUDY GUIDES")</f>
        <v xml:space="preserve">          5518 - FREIGHT-IN-STUDY GUIDES</v>
      </c>
      <c r="C45" s="11"/>
      <c r="D45" s="2"/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0</v>
      </c>
      <c r="Q45" s="2"/>
      <c r="R45" s="19">
        <f t="shared" si="8"/>
        <v>0</v>
      </c>
      <c r="S45" s="2"/>
      <c r="T45" s="2"/>
      <c r="U45" s="2"/>
      <c r="V45" s="19">
        <f t="shared" si="9"/>
        <v>0</v>
      </c>
      <c r="W45" s="2"/>
      <c r="X45" s="2">
        <f t="shared" si="10"/>
        <v>0</v>
      </c>
      <c r="Y45" s="2"/>
      <c r="Z45" s="19">
        <f t="shared" si="11"/>
        <v>0</v>
      </c>
    </row>
    <row r="46" spans="1:26" s="24" customFormat="1" hidden="1" outlineLevel="1" x14ac:dyDescent="0.3">
      <c r="A46" s="44"/>
      <c r="B46" s="11" t="str">
        <f>CONCATENATE("          ", "5527", " - ", "FREIGHT-IN-SCHOOL SUPPLIES")</f>
        <v xml:space="preserve">          5527 - FREIGHT-IN-SCHOOL SUPPLIES</v>
      </c>
      <c r="C46" s="11"/>
      <c r="D46" s="2">
        <v>0</v>
      </c>
      <c r="E46" s="2"/>
      <c r="F46" s="19">
        <f t="shared" si="4"/>
        <v>0</v>
      </c>
      <c r="G46" s="2"/>
      <c r="H46" s="2"/>
      <c r="I46" s="2"/>
      <c r="J46" s="19">
        <f t="shared" si="5"/>
        <v>0</v>
      </c>
      <c r="K46" s="2"/>
      <c r="L46" s="2">
        <f t="shared" si="6"/>
        <v>0</v>
      </c>
      <c r="M46" s="2"/>
      <c r="N46" s="19">
        <f t="shared" si="7"/>
        <v>0</v>
      </c>
      <c r="O46" s="11"/>
      <c r="P46" s="2">
        <v>0</v>
      </c>
      <c r="Q46" s="2"/>
      <c r="R46" s="19">
        <f t="shared" si="8"/>
        <v>0</v>
      </c>
      <c r="S46" s="2"/>
      <c r="T46" s="2"/>
      <c r="U46" s="2"/>
      <c r="V46" s="19">
        <f t="shared" si="9"/>
        <v>0</v>
      </c>
      <c r="W46" s="2"/>
      <c r="X46" s="2">
        <f t="shared" si="10"/>
        <v>0</v>
      </c>
      <c r="Y46" s="2"/>
      <c r="Z46" s="19">
        <f t="shared" si="11"/>
        <v>0</v>
      </c>
    </row>
    <row r="47" spans="1:26" s="24" customFormat="1" hidden="1" outlineLevel="1" x14ac:dyDescent="0.3">
      <c r="A47" s="44"/>
      <c r="B47" s="11" t="str">
        <f>CONCATENATE("          ", "5528", " - ", "FREIGHT-IN-ART/TECH")</f>
        <v xml:space="preserve">          5528 - FREIGHT-IN-ART/TECH</v>
      </c>
      <c r="C47" s="11"/>
      <c r="D47" s="2">
        <v>0</v>
      </c>
      <c r="E47" s="2"/>
      <c r="F47" s="19">
        <f t="shared" si="4"/>
        <v>0</v>
      </c>
      <c r="G47" s="2"/>
      <c r="H47" s="2"/>
      <c r="I47" s="2"/>
      <c r="J47" s="19">
        <f t="shared" si="5"/>
        <v>0</v>
      </c>
      <c r="K47" s="2"/>
      <c r="L47" s="2">
        <f t="shared" si="6"/>
        <v>0</v>
      </c>
      <c r="M47" s="2"/>
      <c r="N47" s="19">
        <f t="shared" si="7"/>
        <v>0</v>
      </c>
      <c r="O47" s="11"/>
      <c r="P47" s="2">
        <v>0</v>
      </c>
      <c r="Q47" s="2"/>
      <c r="R47" s="19">
        <f t="shared" si="8"/>
        <v>0</v>
      </c>
      <c r="S47" s="2"/>
      <c r="T47" s="2"/>
      <c r="U47" s="2"/>
      <c r="V47" s="19">
        <f t="shared" si="9"/>
        <v>0</v>
      </c>
      <c r="W47" s="2"/>
      <c r="X47" s="2">
        <f t="shared" si="10"/>
        <v>0</v>
      </c>
      <c r="Y47" s="2"/>
      <c r="Z47" s="19">
        <f t="shared" si="11"/>
        <v>0</v>
      </c>
    </row>
    <row r="48" spans="1:26" s="24" customFormat="1" hidden="1" outlineLevel="1" x14ac:dyDescent="0.3">
      <c r="A48" s="44"/>
      <c r="B48" s="11" t="str">
        <f>CONCATENATE("          ", "5540", " - ", "FREIGHT-IN-LOGO CLOTHING")</f>
        <v xml:space="preserve">          5540 - FREIGHT-IN-LOGO CLOTHING</v>
      </c>
      <c r="C48" s="11"/>
      <c r="D48" s="2">
        <v>0</v>
      </c>
      <c r="E48" s="2"/>
      <c r="F48" s="19">
        <f t="shared" si="4"/>
        <v>0</v>
      </c>
      <c r="G48" s="2"/>
      <c r="H48" s="2"/>
      <c r="I48" s="2"/>
      <c r="J48" s="19">
        <f t="shared" si="5"/>
        <v>0</v>
      </c>
      <c r="K48" s="2"/>
      <c r="L48" s="2">
        <f t="shared" si="6"/>
        <v>0</v>
      </c>
      <c r="M48" s="2"/>
      <c r="N48" s="19">
        <f t="shared" si="7"/>
        <v>0</v>
      </c>
      <c r="O48" s="11"/>
      <c r="P48" s="2">
        <v>0</v>
      </c>
      <c r="Q48" s="2"/>
      <c r="R48" s="19">
        <f t="shared" si="8"/>
        <v>0</v>
      </c>
      <c r="S48" s="2"/>
      <c r="T48" s="2"/>
      <c r="U48" s="2"/>
      <c r="V48" s="19">
        <f t="shared" si="9"/>
        <v>0</v>
      </c>
      <c r="W48" s="2"/>
      <c r="X48" s="2">
        <f t="shared" si="10"/>
        <v>0</v>
      </c>
      <c r="Y48" s="2"/>
      <c r="Z48" s="19">
        <f t="shared" si="11"/>
        <v>0</v>
      </c>
    </row>
    <row r="49" spans="1:26" s="24" customFormat="1" hidden="1" outlineLevel="1" x14ac:dyDescent="0.3">
      <c r="A49" s="44"/>
      <c r="B49" s="11" t="str">
        <f>CONCATENATE("          ", "5541", " - ", "FREIGHT-IN-LOGO GIFTS")</f>
        <v xml:space="preserve">          5541 - FREIGHT-IN-LOGO GIFTS</v>
      </c>
      <c r="C49" s="11"/>
      <c r="D49" s="2">
        <v>0</v>
      </c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0</v>
      </c>
      <c r="Q49" s="2"/>
      <c r="R49" s="19">
        <f t="shared" si="8"/>
        <v>0</v>
      </c>
      <c r="S49" s="2"/>
      <c r="T49" s="2"/>
      <c r="U49" s="2"/>
      <c r="V49" s="19">
        <f t="shared" si="9"/>
        <v>0</v>
      </c>
      <c r="W49" s="2"/>
      <c r="X49" s="2">
        <f t="shared" si="10"/>
        <v>0</v>
      </c>
      <c r="Y49" s="2"/>
      <c r="Z49" s="19">
        <f t="shared" si="11"/>
        <v>0</v>
      </c>
    </row>
    <row r="50" spans="1:26" s="24" customFormat="1" hidden="1" outlineLevel="1" x14ac:dyDescent="0.3">
      <c r="A50" s="44"/>
      <c r="B50" s="11" t="str">
        <f>CONCATENATE("          ", "5542", " - ", "FREIGHT-IN-EVERYDAY GIFTS")</f>
        <v xml:space="preserve">          5542 - FREIGHT-IN-EVERYDAY GIFTS</v>
      </c>
      <c r="C50" s="11"/>
      <c r="D50" s="2">
        <v>0</v>
      </c>
      <c r="E50" s="2"/>
      <c r="F50" s="19">
        <f t="shared" si="4"/>
        <v>0</v>
      </c>
      <c r="G50" s="2"/>
      <c r="H50" s="2"/>
      <c r="I50" s="2"/>
      <c r="J50" s="19">
        <f t="shared" si="5"/>
        <v>0</v>
      </c>
      <c r="K50" s="2"/>
      <c r="L50" s="2">
        <f t="shared" si="6"/>
        <v>0</v>
      </c>
      <c r="M50" s="2"/>
      <c r="N50" s="19">
        <f t="shared" si="7"/>
        <v>0</v>
      </c>
      <c r="O50" s="11"/>
      <c r="P50" s="2">
        <v>0</v>
      </c>
      <c r="Q50" s="2"/>
      <c r="R50" s="19">
        <f t="shared" si="8"/>
        <v>0</v>
      </c>
      <c r="S50" s="2"/>
      <c r="T50" s="2"/>
      <c r="U50" s="2"/>
      <c r="V50" s="19">
        <f t="shared" si="9"/>
        <v>0</v>
      </c>
      <c r="W50" s="2"/>
      <c r="X50" s="2">
        <f t="shared" si="10"/>
        <v>0</v>
      </c>
      <c r="Y50" s="2"/>
      <c r="Z50" s="19">
        <f t="shared" si="11"/>
        <v>0</v>
      </c>
    </row>
    <row r="51" spans="1:26" s="24" customFormat="1" hidden="1" outlineLevel="1" x14ac:dyDescent="0.3">
      <c r="A51" s="44"/>
      <c r="B51" s="11" t="str">
        <f>CONCATENATE("          ", "5544", " - ", "FREIGHT-IN-ACCESSORIES")</f>
        <v xml:space="preserve">          5544 - FREIGHT-IN-ACCESSORIES</v>
      </c>
      <c r="C51" s="11"/>
      <c r="D51" s="2">
        <v>0</v>
      </c>
      <c r="E51" s="2"/>
      <c r="F51" s="19">
        <f t="shared" si="4"/>
        <v>0</v>
      </c>
      <c r="G51" s="2"/>
      <c r="H51" s="2"/>
      <c r="I51" s="2"/>
      <c r="J51" s="19">
        <f t="shared" si="5"/>
        <v>0</v>
      </c>
      <c r="K51" s="2"/>
      <c r="L51" s="2">
        <f t="shared" si="6"/>
        <v>0</v>
      </c>
      <c r="M51" s="2"/>
      <c r="N51" s="19">
        <f t="shared" si="7"/>
        <v>0</v>
      </c>
      <c r="O51" s="11"/>
      <c r="P51" s="2">
        <v>0</v>
      </c>
      <c r="Q51" s="2"/>
      <c r="R51" s="19">
        <f t="shared" si="8"/>
        <v>0</v>
      </c>
      <c r="S51" s="2"/>
      <c r="T51" s="2"/>
      <c r="U51" s="2"/>
      <c r="V51" s="19">
        <f t="shared" si="9"/>
        <v>0</v>
      </c>
      <c r="W51" s="2"/>
      <c r="X51" s="2">
        <f t="shared" si="10"/>
        <v>0</v>
      </c>
      <c r="Y51" s="2"/>
      <c r="Z51" s="19">
        <f t="shared" si="11"/>
        <v>0</v>
      </c>
    </row>
    <row r="52" spans="1:26" s="24" customFormat="1" hidden="1" outlineLevel="1" x14ac:dyDescent="0.3">
      <c r="A52" s="44"/>
      <c r="B52" s="11" t="str">
        <f>CONCATENATE("          ", "5545", " - ", "FREIGHT-IN-SPECIAL ORDERS")</f>
        <v xml:space="preserve">          5545 - FREIGHT-IN-SPECIAL ORDERS</v>
      </c>
      <c r="C52" s="11"/>
      <c r="D52" s="2">
        <v>0</v>
      </c>
      <c r="E52" s="2"/>
      <c r="F52" s="19">
        <f t="shared" si="4"/>
        <v>0</v>
      </c>
      <c r="G52" s="2"/>
      <c r="H52" s="2"/>
      <c r="I52" s="2"/>
      <c r="J52" s="19">
        <f t="shared" si="5"/>
        <v>0</v>
      </c>
      <c r="K52" s="2"/>
      <c r="L52" s="2">
        <f t="shared" si="6"/>
        <v>0</v>
      </c>
      <c r="M52" s="2"/>
      <c r="N52" s="19">
        <f t="shared" si="7"/>
        <v>0</v>
      </c>
      <c r="O52" s="11"/>
      <c r="P52" s="2">
        <v>0</v>
      </c>
      <c r="Q52" s="2"/>
      <c r="R52" s="19">
        <f t="shared" si="8"/>
        <v>0</v>
      </c>
      <c r="S52" s="2"/>
      <c r="T52" s="2"/>
      <c r="U52" s="2"/>
      <c r="V52" s="19">
        <f t="shared" si="9"/>
        <v>0</v>
      </c>
      <c r="W52" s="2"/>
      <c r="X52" s="2">
        <f t="shared" si="10"/>
        <v>0</v>
      </c>
      <c r="Y52" s="2"/>
      <c r="Z52" s="19">
        <f t="shared" si="11"/>
        <v>0</v>
      </c>
    </row>
    <row r="53" spans="1:26" s="24" customFormat="1" hidden="1" outlineLevel="1" x14ac:dyDescent="0.3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>
        <v>0</v>
      </c>
      <c r="E53" s="2"/>
      <c r="F53" s="19">
        <f t="shared" si="4"/>
        <v>0</v>
      </c>
      <c r="G53" s="2"/>
      <c r="H53" s="2"/>
      <c r="I53" s="2"/>
      <c r="J53" s="19">
        <f t="shared" si="5"/>
        <v>0</v>
      </c>
      <c r="K53" s="2"/>
      <c r="L53" s="2">
        <f t="shared" si="6"/>
        <v>0</v>
      </c>
      <c r="M53" s="2"/>
      <c r="N53" s="19">
        <f t="shared" si="7"/>
        <v>0</v>
      </c>
      <c r="O53" s="11"/>
      <c r="P53" s="2">
        <v>0</v>
      </c>
      <c r="Q53" s="2"/>
      <c r="R53" s="19">
        <f t="shared" si="8"/>
        <v>0</v>
      </c>
      <c r="S53" s="2"/>
      <c r="T53" s="2"/>
      <c r="U53" s="2"/>
      <c r="V53" s="19">
        <f t="shared" si="9"/>
        <v>0</v>
      </c>
      <c r="W53" s="2"/>
      <c r="X53" s="2">
        <f t="shared" si="10"/>
        <v>0</v>
      </c>
      <c r="Y53" s="2"/>
      <c r="Z53" s="19">
        <f t="shared" si="11"/>
        <v>0</v>
      </c>
    </row>
    <row r="54" spans="1:26" x14ac:dyDescent="0.3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3">
      <c r="A55" s="10"/>
      <c r="B55" s="26" t="s">
        <v>108</v>
      </c>
      <c r="C55" s="26"/>
      <c r="D55" s="21">
        <f>D12-D20</f>
        <v>572036.92000000016</v>
      </c>
      <c r="E55" s="13"/>
      <c r="F55" s="20">
        <f>IF(D$12=0,0,D55/D$12)</f>
        <v>0.30818164834021877</v>
      </c>
      <c r="G55" s="13"/>
      <c r="H55" s="21">
        <f>H12-H20</f>
        <v>925314</v>
      </c>
      <c r="I55" s="13"/>
      <c r="J55" s="20">
        <f>IF(H$12=0,0,H55/H$12)</f>
        <v>0.29682435148244729</v>
      </c>
      <c r="K55" s="16"/>
      <c r="L55" s="21">
        <f>+D55-H55</f>
        <v>-353277.07999999984</v>
      </c>
      <c r="M55" s="16"/>
      <c r="N55" s="20">
        <f>IF(H55=0,0,L55/H55)</f>
        <v>-0.38179156480935106</v>
      </c>
      <c r="O55" s="25"/>
      <c r="P55" s="21">
        <f>P12-P20</f>
        <v>678048.52999999956</v>
      </c>
      <c r="Q55" s="13"/>
      <c r="R55" s="20">
        <f>IF(P$12=0,0,P55/P$12)</f>
        <v>0.31218098641339165</v>
      </c>
      <c r="S55" s="13"/>
      <c r="T55" s="21">
        <f>T12-T20</f>
        <v>1080915</v>
      </c>
      <c r="U55" s="13"/>
      <c r="V55" s="20">
        <f>IF(T$12=0,0,T55/T$12)</f>
        <v>0.29015009267548281</v>
      </c>
      <c r="W55" s="16"/>
      <c r="X55" s="21">
        <f>+P55-T55</f>
        <v>-402866.47000000044</v>
      </c>
      <c r="Y55" s="16"/>
      <c r="Z55" s="20">
        <f>IF(T55=0,0,X55/T55)</f>
        <v>-0.3727087421305102</v>
      </c>
    </row>
    <row r="56" spans="1:26" x14ac:dyDescent="0.3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3">
      <c r="A57" s="10"/>
      <c r="B57" s="25" t="s">
        <v>295</v>
      </c>
      <c r="C57" s="10"/>
      <c r="D57" s="22">
        <f>SUM(OSRRefD22x_0)</f>
        <v>354002.82</v>
      </c>
      <c r="E57" s="22"/>
      <c r="F57" s="31">
        <f t="shared" ref="F57:F68" si="12">IF(D$12=0,0,D57/D$12)</f>
        <v>0.19071701278421982</v>
      </c>
      <c r="G57" s="22"/>
      <c r="H57" s="22">
        <f>SUM(OSRRefH22x_0)</f>
        <v>370214.21933659056</v>
      </c>
      <c r="I57" s="22"/>
      <c r="J57" s="31">
        <f t="shared" ref="J57:J68" si="13">IF(H$12=0,0,H57/H$12)</f>
        <v>0.11875816810743595</v>
      </c>
      <c r="K57" s="4"/>
      <c r="L57" s="22">
        <f t="shared" ref="L57:L68" si="14">+D57-H57</f>
        <v>-16211.399336590548</v>
      </c>
      <c r="M57" s="4"/>
      <c r="N57" s="31">
        <f t="shared" ref="N57:N68" si="15">IF(H57=0,0,L57/H57)</f>
        <v>-4.3789240093588908E-2</v>
      </c>
      <c r="O57" s="10"/>
      <c r="P57" s="22">
        <f>SUM(OSRRefP22x_0)</f>
        <v>734317.82000000007</v>
      </c>
      <c r="Q57" s="22"/>
      <c r="R57" s="31">
        <f t="shared" ref="R57:R68" si="16">IF(P$12=0,0,P57/P$12)</f>
        <v>0.33808798521918709</v>
      </c>
      <c r="S57" s="22"/>
      <c r="T57" s="22">
        <f>SUM(OSRRefT22x_0)</f>
        <v>791729.97770420322</v>
      </c>
      <c r="U57" s="22"/>
      <c r="V57" s="31">
        <f t="shared" ref="V57:V68" si="17">IF(T$12=0,0,T57/T$12)</f>
        <v>0.21252413594485459</v>
      </c>
      <c r="W57" s="4"/>
      <c r="X57" s="22">
        <f t="shared" ref="X57:X68" si="18">+P57-T57</f>
        <v>-57412.157704203157</v>
      </c>
      <c r="Y57" s="4"/>
      <c r="Z57" s="31">
        <f t="shared" ref="Z57:Z68" si="19">IF(T57=0,0,X57/T57)</f>
        <v>-7.2514821114494685E-2</v>
      </c>
    </row>
    <row r="58" spans="1:26" s="28" customFormat="1" outlineLevel="1" collapsed="1" x14ac:dyDescent="0.3">
      <c r="A58" s="29"/>
      <c r="B58" s="14" t="str">
        <f>CONCATENATE("     ","*Benefits                                         ")</f>
        <v xml:space="preserve">     *Benefits                                         </v>
      </c>
      <c r="C58" s="14"/>
      <c r="D58" s="1">
        <f>SUM(OSRRefD22_0x_0)</f>
        <v>53095.48000000001</v>
      </c>
      <c r="E58" s="1"/>
      <c r="F58" s="5">
        <f t="shared" si="12"/>
        <v>2.8604888904399942E-2</v>
      </c>
      <c r="G58" s="1"/>
      <c r="H58" s="1">
        <f>SUM(OSRRefH22_0x_0)</f>
        <v>54738.912279798285</v>
      </c>
      <c r="I58" s="1"/>
      <c r="J58" s="5">
        <f t="shared" si="13"/>
        <v>1.7559274082425743E-2</v>
      </c>
      <c r="K58" s="1"/>
      <c r="L58" s="1">
        <f t="shared" si="14"/>
        <v>-1643.432279798275</v>
      </c>
      <c r="M58" s="1"/>
      <c r="N58" s="5">
        <f t="shared" si="15"/>
        <v>-3.0023108084389051E-2</v>
      </c>
      <c r="O58" s="14"/>
      <c r="P58" s="1">
        <f>SUM(OSRRefP22_0x_0)</f>
        <v>102681.43999999999</v>
      </c>
      <c r="Q58" s="1"/>
      <c r="R58" s="5">
        <f t="shared" si="16"/>
        <v>4.7275662149945968E-2</v>
      </c>
      <c r="S58" s="1"/>
      <c r="T58" s="1">
        <f>SUM(OSRRefT22_0x_0)</f>
        <v>114749.56495142104</v>
      </c>
      <c r="U58" s="1"/>
      <c r="V58" s="5">
        <f t="shared" si="17"/>
        <v>3.0802234130459977E-2</v>
      </c>
      <c r="W58" s="1"/>
      <c r="X58" s="1">
        <f t="shared" si="18"/>
        <v>-12068.12495142105</v>
      </c>
      <c r="Y58" s="1"/>
      <c r="Z58" s="5">
        <f t="shared" si="19"/>
        <v>-0.10516924361787396</v>
      </c>
    </row>
    <row r="59" spans="1:26" s="24" customFormat="1" hidden="1" outlineLevel="2" x14ac:dyDescent="0.3">
      <c r="A59" s="27"/>
      <c r="B59" s="11" t="str">
        <f>CONCATENATE("          ", "6111", " - ", "F.I.C.A.")</f>
        <v xml:space="preserve">          6111 - F.I.C.A.</v>
      </c>
      <c r="C59" s="11"/>
      <c r="D59" s="6">
        <v>12726.71</v>
      </c>
      <c r="E59" s="2"/>
      <c r="F59" s="7">
        <f t="shared" si="12"/>
        <v>6.8564428774071859E-3</v>
      </c>
      <c r="G59" s="2"/>
      <c r="H59" s="6">
        <v>11466.5376423575</v>
      </c>
      <c r="I59" s="2"/>
      <c r="J59" s="7">
        <f t="shared" si="13"/>
        <v>3.6782622973842768E-3</v>
      </c>
      <c r="K59" s="2"/>
      <c r="L59" s="6">
        <f t="shared" si="14"/>
        <v>1260.1723576424993</v>
      </c>
      <c r="M59" s="2"/>
      <c r="N59" s="7">
        <f t="shared" si="15"/>
        <v>0.10989998872784497</v>
      </c>
      <c r="O59" s="11"/>
      <c r="P59" s="6">
        <v>23008.28</v>
      </c>
      <c r="Q59" s="2"/>
      <c r="R59" s="7">
        <f t="shared" si="16"/>
        <v>1.0593264682803036E-2</v>
      </c>
      <c r="S59" s="2"/>
      <c r="T59" s="6">
        <v>24883.765173429299</v>
      </c>
      <c r="U59" s="2"/>
      <c r="V59" s="7">
        <f t="shared" si="17"/>
        <v>6.679550909355003E-3</v>
      </c>
      <c r="W59" s="2"/>
      <c r="X59" s="6">
        <f t="shared" si="18"/>
        <v>-1875.4851734293006</v>
      </c>
      <c r="Y59" s="2"/>
      <c r="Z59" s="7">
        <f t="shared" si="19"/>
        <v>-7.5369830906133528E-2</v>
      </c>
    </row>
    <row r="60" spans="1:26" s="24" customFormat="1" hidden="1" outlineLevel="2" x14ac:dyDescent="0.3">
      <c r="A60" s="27"/>
      <c r="B60" s="11" t="str">
        <f>CONCATENATE("          ", "6112", " - ", "COMPENSATION INSURANCE")</f>
        <v xml:space="preserve">          6112 - COMPENSATION INSURANCE</v>
      </c>
      <c r="C60" s="11"/>
      <c r="D60" s="6">
        <v>2652.38</v>
      </c>
      <c r="E60" s="2"/>
      <c r="F60" s="7">
        <f t="shared" si="12"/>
        <v>1.4289546912892078E-3</v>
      </c>
      <c r="G60" s="2"/>
      <c r="H60" s="6">
        <v>3547.47313188</v>
      </c>
      <c r="I60" s="2"/>
      <c r="J60" s="7">
        <f t="shared" si="13"/>
        <v>1.137966584069502E-3</v>
      </c>
      <c r="K60" s="2"/>
      <c r="L60" s="6">
        <f t="shared" si="14"/>
        <v>-895.09313187999987</v>
      </c>
      <c r="M60" s="2"/>
      <c r="N60" s="7">
        <f t="shared" si="15"/>
        <v>-0.25231850914840925</v>
      </c>
      <c r="O60" s="11"/>
      <c r="P60" s="6">
        <v>4803.1499999999996</v>
      </c>
      <c r="Q60" s="2"/>
      <c r="R60" s="7">
        <f t="shared" si="16"/>
        <v>2.2114229860383046E-3</v>
      </c>
      <c r="S60" s="2"/>
      <c r="T60" s="6">
        <v>6883.2186717300001</v>
      </c>
      <c r="U60" s="2"/>
      <c r="V60" s="7">
        <f t="shared" si="17"/>
        <v>1.8476628925568367E-3</v>
      </c>
      <c r="W60" s="2"/>
      <c r="X60" s="6">
        <f t="shared" si="18"/>
        <v>-2080.0686717300005</v>
      </c>
      <c r="Y60" s="2"/>
      <c r="Z60" s="7">
        <f t="shared" si="19"/>
        <v>-0.30219418718644375</v>
      </c>
    </row>
    <row r="61" spans="1:26" s="24" customFormat="1" hidden="1" outlineLevel="2" x14ac:dyDescent="0.3">
      <c r="A61" s="27"/>
      <c r="B61" s="11" t="str">
        <f>CONCATENATE("          ", "6113", " - ", "GROUP INSURANCE")</f>
        <v xml:space="preserve">          6113 - GROUP INSURANCE</v>
      </c>
      <c r="C61" s="11"/>
      <c r="D61" s="6">
        <v>18062.150000000001</v>
      </c>
      <c r="E61" s="2"/>
      <c r="F61" s="7">
        <f t="shared" si="12"/>
        <v>9.7308809360911203E-3</v>
      </c>
      <c r="G61" s="2"/>
      <c r="H61" s="6">
        <v>18636.4230769231</v>
      </c>
      <c r="I61" s="2"/>
      <c r="J61" s="7">
        <f t="shared" si="13"/>
        <v>5.9782346249599742E-3</v>
      </c>
      <c r="K61" s="2"/>
      <c r="L61" s="6">
        <f t="shared" si="14"/>
        <v>-574.27307692309842</v>
      </c>
      <c r="M61" s="2"/>
      <c r="N61" s="7">
        <f t="shared" si="15"/>
        <v>-3.0814554625249027E-2</v>
      </c>
      <c r="O61" s="11"/>
      <c r="P61" s="6">
        <v>36786.92</v>
      </c>
      <c r="Q61" s="2"/>
      <c r="R61" s="7">
        <f t="shared" si="16"/>
        <v>1.6937101792272202E-2</v>
      </c>
      <c r="S61" s="2"/>
      <c r="T61" s="6">
        <v>38494.0769230769</v>
      </c>
      <c r="U61" s="2"/>
      <c r="V61" s="7">
        <f t="shared" si="17"/>
        <v>1.0332967889878414E-2</v>
      </c>
      <c r="W61" s="2"/>
      <c r="X61" s="6">
        <f t="shared" si="18"/>
        <v>-1707.1569230769019</v>
      </c>
      <c r="Y61" s="2"/>
      <c r="Z61" s="7">
        <f t="shared" si="19"/>
        <v>-4.4348561117294245E-2</v>
      </c>
    </row>
    <row r="62" spans="1:26" s="24" customFormat="1" hidden="1" outlineLevel="2" x14ac:dyDescent="0.3">
      <c r="A62" s="27"/>
      <c r="B62" s="11" t="str">
        <f>CONCATENATE("          ", "6114", " - ", "STATE UNEMPLOYMENT INSURANCE")</f>
        <v xml:space="preserve">          6114 - STATE UNEMPLOYMENT INSURANCE</v>
      </c>
      <c r="C62" s="11"/>
      <c r="D62" s="6">
        <v>480.4</v>
      </c>
      <c r="E62" s="2"/>
      <c r="F62" s="7">
        <f t="shared" si="12"/>
        <v>2.588127770890051E-4</v>
      </c>
      <c r="G62" s="2"/>
      <c r="H62" s="6">
        <v>477.54446006076898</v>
      </c>
      <c r="I62" s="2"/>
      <c r="J62" s="7">
        <f t="shared" si="13"/>
        <v>1.5318780939397133E-4</v>
      </c>
      <c r="K62" s="2"/>
      <c r="L62" s="6">
        <f t="shared" si="14"/>
        <v>2.8555399392309937</v>
      </c>
      <c r="M62" s="2"/>
      <c r="N62" s="7">
        <f t="shared" si="15"/>
        <v>5.9796315904651421E-3</v>
      </c>
      <c r="O62" s="11"/>
      <c r="P62" s="6">
        <v>869.09</v>
      </c>
      <c r="Q62" s="2"/>
      <c r="R62" s="7">
        <f t="shared" si="16"/>
        <v>4.0013857633761806E-4</v>
      </c>
      <c r="S62" s="2"/>
      <c r="T62" s="6">
        <v>926.58712888673006</v>
      </c>
      <c r="U62" s="2"/>
      <c r="V62" s="7">
        <f t="shared" si="17"/>
        <v>2.4872385092111245E-4</v>
      </c>
      <c r="W62" s="2"/>
      <c r="X62" s="6">
        <f t="shared" si="18"/>
        <v>-57.497128886730025</v>
      </c>
      <c r="Y62" s="2"/>
      <c r="Z62" s="7">
        <f t="shared" si="19"/>
        <v>-6.2052587494725191E-2</v>
      </c>
    </row>
    <row r="63" spans="1:26" s="24" customFormat="1" hidden="1" outlineLevel="2" x14ac:dyDescent="0.3">
      <c r="A63" s="27"/>
      <c r="B63" s="11" t="str">
        <f>CONCATENATE("          ", "6115", " - ", "P.E.R.S.")</f>
        <v xml:space="preserve">          6115 - P.E.R.S.</v>
      </c>
      <c r="C63" s="11"/>
      <c r="D63" s="6">
        <v>6395.48</v>
      </c>
      <c r="E63" s="2"/>
      <c r="F63" s="7">
        <f t="shared" si="12"/>
        <v>3.4455286003688391E-3</v>
      </c>
      <c r="G63" s="2"/>
      <c r="H63" s="6">
        <v>5078.70745410768</v>
      </c>
      <c r="I63" s="2"/>
      <c r="J63" s="7">
        <f t="shared" si="13"/>
        <v>1.6291594490460352E-3</v>
      </c>
      <c r="K63" s="2"/>
      <c r="L63" s="6">
        <f t="shared" si="14"/>
        <v>1316.7725458923196</v>
      </c>
      <c r="M63" s="2"/>
      <c r="N63" s="7">
        <f t="shared" si="15"/>
        <v>0.25927316306185511</v>
      </c>
      <c r="O63" s="11"/>
      <c r="P63" s="6">
        <v>12825.61</v>
      </c>
      <c r="Q63" s="2"/>
      <c r="R63" s="7">
        <f t="shared" si="16"/>
        <v>5.9050516356896499E-3</v>
      </c>
      <c r="S63" s="2"/>
      <c r="T63" s="6">
        <v>11427.0917717423</v>
      </c>
      <c r="U63" s="2"/>
      <c r="V63" s="7">
        <f t="shared" si="17"/>
        <v>3.0673750818355516E-3</v>
      </c>
      <c r="W63" s="2"/>
      <c r="X63" s="6">
        <f t="shared" si="18"/>
        <v>1398.5182282577007</v>
      </c>
      <c r="Y63" s="2"/>
      <c r="Z63" s="7">
        <f t="shared" si="19"/>
        <v>0.12238619030924849</v>
      </c>
    </row>
    <row r="64" spans="1:26" s="24" customFormat="1" hidden="1" outlineLevel="2" x14ac:dyDescent="0.3">
      <c r="A64" s="27"/>
      <c r="B64" s="11" t="str">
        <f>CONCATENATE("          ", "6116", " - ", "EDUCATIONAL BENEFITS")</f>
        <v xml:space="preserve">          6116 - EDUCATIONAL BENEFITS</v>
      </c>
      <c r="C64" s="11"/>
      <c r="D64" s="6"/>
      <c r="E64" s="2"/>
      <c r="F64" s="7">
        <f t="shared" si="12"/>
        <v>0</v>
      </c>
      <c r="G64" s="2"/>
      <c r="H64" s="6">
        <v>0</v>
      </c>
      <c r="I64" s="2"/>
      <c r="J64" s="7">
        <f t="shared" si="13"/>
        <v>0</v>
      </c>
      <c r="K64" s="2"/>
      <c r="L64" s="6">
        <f t="shared" si="14"/>
        <v>0</v>
      </c>
      <c r="M64" s="2"/>
      <c r="N64" s="7">
        <f t="shared" si="15"/>
        <v>0</v>
      </c>
      <c r="O64" s="11"/>
      <c r="P64" s="6"/>
      <c r="Q64" s="2"/>
      <c r="R64" s="7">
        <f t="shared" si="16"/>
        <v>0</v>
      </c>
      <c r="S64" s="2"/>
      <c r="T64" s="6">
        <v>0</v>
      </c>
      <c r="U64" s="2"/>
      <c r="V64" s="7">
        <f t="shared" si="17"/>
        <v>0</v>
      </c>
      <c r="W64" s="2"/>
      <c r="X64" s="6">
        <f t="shared" si="18"/>
        <v>0</v>
      </c>
      <c r="Y64" s="2"/>
      <c r="Z64" s="7">
        <f t="shared" si="19"/>
        <v>0</v>
      </c>
    </row>
    <row r="65" spans="1:26" s="24" customFormat="1" hidden="1" outlineLevel="2" x14ac:dyDescent="0.3">
      <c r="A65" s="27"/>
      <c r="B65" s="11" t="str">
        <f>CONCATENATE("          ", "6117", " - ", "RETIREMENT STAFF HOURLY")</f>
        <v xml:space="preserve">          6117 - RETIREMENT STAFF HOURLY</v>
      </c>
      <c r="C65" s="11"/>
      <c r="D65" s="6">
        <v>1022.68</v>
      </c>
      <c r="E65" s="2"/>
      <c r="F65" s="7">
        <f t="shared" si="12"/>
        <v>5.5096305344168144E-4</v>
      </c>
      <c r="G65" s="2"/>
      <c r="H65" s="6"/>
      <c r="I65" s="2"/>
      <c r="J65" s="7">
        <f t="shared" si="13"/>
        <v>0</v>
      </c>
      <c r="K65" s="2"/>
      <c r="L65" s="6">
        <f t="shared" si="14"/>
        <v>1022.68</v>
      </c>
      <c r="M65" s="2"/>
      <c r="N65" s="7">
        <f t="shared" si="15"/>
        <v>0</v>
      </c>
      <c r="O65" s="11"/>
      <c r="P65" s="6">
        <v>1738.23</v>
      </c>
      <c r="Q65" s="2"/>
      <c r="R65" s="7">
        <f t="shared" si="16"/>
        <v>8.0030017322410552E-4</v>
      </c>
      <c r="S65" s="2"/>
      <c r="T65" s="6"/>
      <c r="U65" s="2"/>
      <c r="V65" s="7">
        <f t="shared" si="17"/>
        <v>0</v>
      </c>
      <c r="W65" s="2"/>
      <c r="X65" s="6">
        <f t="shared" si="18"/>
        <v>1738.23</v>
      </c>
      <c r="Y65" s="2"/>
      <c r="Z65" s="7">
        <f t="shared" si="19"/>
        <v>0</v>
      </c>
    </row>
    <row r="66" spans="1:26" s="24" customFormat="1" hidden="1" outlineLevel="2" x14ac:dyDescent="0.3">
      <c r="A66" s="27"/>
      <c r="B66" s="11" t="str">
        <f>CONCATENATE("          ", "6118", " - ", "VACATION")</f>
        <v xml:space="preserve">          6118 - VACATION</v>
      </c>
      <c r="C66" s="11"/>
      <c r="D66" s="6">
        <v>5611.54</v>
      </c>
      <c r="E66" s="2"/>
      <c r="F66" s="7">
        <f t="shared" si="12"/>
        <v>3.0231853687469521E-3</v>
      </c>
      <c r="G66" s="2"/>
      <c r="H66" s="6">
        <v>4741.0133042076905</v>
      </c>
      <c r="I66" s="2"/>
      <c r="J66" s="7">
        <f t="shared" si="13"/>
        <v>1.5208331435503E-3</v>
      </c>
      <c r="K66" s="2"/>
      <c r="L66" s="6">
        <f t="shared" si="14"/>
        <v>870.52669579230951</v>
      </c>
      <c r="M66" s="2"/>
      <c r="N66" s="7">
        <f t="shared" si="15"/>
        <v>0.18361616809210587</v>
      </c>
      <c r="O66" s="11"/>
      <c r="P66" s="6">
        <v>11080.09</v>
      </c>
      <c r="Q66" s="2"/>
      <c r="R66" s="7">
        <f t="shared" si="16"/>
        <v>5.1013950664403895E-3</v>
      </c>
      <c r="S66" s="2"/>
      <c r="T66" s="6">
        <v>10667.2799344673</v>
      </c>
      <c r="U66" s="2"/>
      <c r="V66" s="7">
        <f t="shared" si="17"/>
        <v>2.8634187346655428E-3</v>
      </c>
      <c r="W66" s="2"/>
      <c r="X66" s="6">
        <f t="shared" si="18"/>
        <v>412.81006553269981</v>
      </c>
      <c r="Y66" s="2"/>
      <c r="Z66" s="7">
        <f t="shared" si="19"/>
        <v>3.869871870511802E-2</v>
      </c>
    </row>
    <row r="67" spans="1:26" s="24" customFormat="1" hidden="1" outlineLevel="2" x14ac:dyDescent="0.3">
      <c r="A67" s="27"/>
      <c r="B67" s="11" t="str">
        <f>CONCATENATE("          ", "6119", " - ", "SICK LEAVE")</f>
        <v xml:space="preserve">          6119 - SICK LEAVE</v>
      </c>
      <c r="C67" s="11"/>
      <c r="D67" s="6">
        <v>3959.85</v>
      </c>
      <c r="E67" s="2"/>
      <c r="F67" s="7">
        <f t="shared" si="12"/>
        <v>2.1333467430389194E-3</v>
      </c>
      <c r="G67" s="2"/>
      <c r="H67" s="6">
        <v>7991.2132102615396</v>
      </c>
      <c r="I67" s="2"/>
      <c r="J67" s="7">
        <f t="shared" si="13"/>
        <v>2.5634397390440944E-3</v>
      </c>
      <c r="K67" s="2"/>
      <c r="L67" s="6">
        <f t="shared" si="14"/>
        <v>-4031.3632102615397</v>
      </c>
      <c r="M67" s="2"/>
      <c r="N67" s="7">
        <f t="shared" si="15"/>
        <v>-0.50447449019190915</v>
      </c>
      <c r="O67" s="11"/>
      <c r="P67" s="6">
        <v>7927.08</v>
      </c>
      <c r="Q67" s="2"/>
      <c r="R67" s="7">
        <f t="shared" si="16"/>
        <v>3.6497146506281344E-3</v>
      </c>
      <c r="S67" s="2"/>
      <c r="T67" s="6">
        <v>15867.545348088501</v>
      </c>
      <c r="U67" s="2"/>
      <c r="V67" s="7">
        <f t="shared" si="17"/>
        <v>4.2593263607964595E-3</v>
      </c>
      <c r="W67" s="2"/>
      <c r="X67" s="6">
        <f t="shared" si="18"/>
        <v>-7940.4653480885008</v>
      </c>
      <c r="Y67" s="2"/>
      <c r="Z67" s="7">
        <f t="shared" si="19"/>
        <v>-0.50042178382966185</v>
      </c>
    </row>
    <row r="68" spans="1:26" s="24" customFormat="1" hidden="1" outlineLevel="2" x14ac:dyDescent="0.3">
      <c r="A68" s="27"/>
      <c r="B68" s="11" t="str">
        <f>CONCATENATE("          ", "6156", " - ", "EMPLOYEE MEALS")</f>
        <v xml:space="preserve">          6156 - EMPLOYEE MEALS</v>
      </c>
      <c r="C68" s="11"/>
      <c r="D68" s="6">
        <v>2184.29</v>
      </c>
      <c r="E68" s="2"/>
      <c r="F68" s="7">
        <f t="shared" si="12"/>
        <v>1.1767738569270253E-3</v>
      </c>
      <c r="G68" s="2"/>
      <c r="H68" s="6">
        <v>2800</v>
      </c>
      <c r="I68" s="2"/>
      <c r="J68" s="7">
        <f t="shared" si="13"/>
        <v>8.9819043497758855E-4</v>
      </c>
      <c r="K68" s="2"/>
      <c r="L68" s="6">
        <f t="shared" si="14"/>
        <v>-615.71</v>
      </c>
      <c r="M68" s="2"/>
      <c r="N68" s="7">
        <f t="shared" si="15"/>
        <v>-0.21989642857142858</v>
      </c>
      <c r="O68" s="11"/>
      <c r="P68" s="6">
        <v>3642.99</v>
      </c>
      <c r="Q68" s="2"/>
      <c r="R68" s="7">
        <f t="shared" si="16"/>
        <v>1.677272586512535E-3</v>
      </c>
      <c r="S68" s="2"/>
      <c r="T68" s="6">
        <v>5600</v>
      </c>
      <c r="U68" s="2"/>
      <c r="V68" s="7">
        <f t="shared" si="17"/>
        <v>1.5032084104510564E-3</v>
      </c>
      <c r="W68" s="2"/>
      <c r="X68" s="6">
        <f t="shared" si="18"/>
        <v>-1957.0100000000002</v>
      </c>
      <c r="Y68" s="2"/>
      <c r="Z68" s="7">
        <f t="shared" si="19"/>
        <v>-0.34946607142857145</v>
      </c>
    </row>
    <row r="69" spans="1:26" s="28" customFormat="1" outlineLevel="1" collapsed="1" x14ac:dyDescent="0.3">
      <c r="A69" s="29"/>
      <c r="B69" s="14" t="str">
        <f>CONCATENATE("     ","*Payroll                                          ")</f>
        <v xml:space="preserve">     *Payroll                                          </v>
      </c>
      <c r="C69" s="14"/>
      <c r="D69" s="1">
        <f>SUM(OSRRefD22_1x_0)</f>
        <v>195958.27</v>
      </c>
      <c r="E69" s="1"/>
      <c r="F69" s="5">
        <f t="shared" ref="F69:F79" si="20">IF(D$12=0,0,D69/D$12)</f>
        <v>0.10557140726947768</v>
      </c>
      <c r="G69" s="1"/>
      <c r="H69" s="1">
        <f>SUM(OSRRefH22_1x_0)</f>
        <v>219645.30705679228</v>
      </c>
      <c r="I69" s="1"/>
      <c r="J69" s="5">
        <f t="shared" ref="J69:J79" si="21">IF(H$12=0,0,H69/H$12)</f>
        <v>7.045832638790224E-2</v>
      </c>
      <c r="K69" s="1"/>
      <c r="L69" s="1">
        <f t="shared" ref="L69:L79" si="22">+D69-H69</f>
        <v>-23687.037056792295</v>
      </c>
      <c r="M69" s="1"/>
      <c r="N69" s="5">
        <f t="shared" ref="N69:N79" si="23">IF(H69=0,0,L69/H69)</f>
        <v>-0.10784221786567781</v>
      </c>
      <c r="O69" s="14"/>
      <c r="P69" s="1">
        <f>SUM(OSRRefP22_1x_0)</f>
        <v>372741.78</v>
      </c>
      <c r="Q69" s="1"/>
      <c r="R69" s="5">
        <f t="shared" ref="R69:R79" si="24">IF(P$12=0,0,P69/P$12)</f>
        <v>0.17161440724292035</v>
      </c>
      <c r="S69" s="1"/>
      <c r="T69" s="1">
        <f>SUM(OSRRefT22_1x_0)</f>
        <v>423283.41275278229</v>
      </c>
      <c r="U69" s="1"/>
      <c r="V69" s="5">
        <f t="shared" ref="V69:V79" si="25">IF(T$12=0,0,T69/T$12)</f>
        <v>0.11362199750971577</v>
      </c>
      <c r="W69" s="1"/>
      <c r="X69" s="1">
        <f t="shared" ref="X69:X79" si="26">+P69-T69</f>
        <v>-50541.632752782258</v>
      </c>
      <c r="Y69" s="1"/>
      <c r="Z69" s="5">
        <f t="shared" ref="Z69:Z79" si="27">IF(T69=0,0,X69/T69)</f>
        <v>-0.11940376407402711</v>
      </c>
    </row>
    <row r="70" spans="1:26" s="24" customFormat="1" hidden="1" outlineLevel="2" x14ac:dyDescent="0.3">
      <c r="A70" s="27"/>
      <c r="B70" s="11" t="str">
        <f>CONCATENATE("          ", "6001", " - ", "ADMINISTRATIVE SALARIES")</f>
        <v xml:space="preserve">          6001 - ADMINISTRATIVE SALARIES</v>
      </c>
      <c r="C70" s="11"/>
      <c r="D70" s="6">
        <v>4479.1000000000004</v>
      </c>
      <c r="E70" s="2"/>
      <c r="F70" s="7">
        <f t="shared" si="20"/>
        <v>2.4130897374258181E-3</v>
      </c>
      <c r="G70" s="2"/>
      <c r="H70" s="6">
        <v>4139.8076923076896</v>
      </c>
      <c r="I70" s="2"/>
      <c r="J70" s="7">
        <f t="shared" si="21"/>
        <v>1.3279770256705039E-3</v>
      </c>
      <c r="K70" s="2"/>
      <c r="L70" s="6">
        <f t="shared" si="22"/>
        <v>339.29230769231071</v>
      </c>
      <c r="M70" s="2"/>
      <c r="N70" s="7">
        <f t="shared" si="23"/>
        <v>8.1958470757653959E-2</v>
      </c>
      <c r="O70" s="11"/>
      <c r="P70" s="6">
        <v>10078.200000000001</v>
      </c>
      <c r="Q70" s="2"/>
      <c r="R70" s="7">
        <f t="shared" si="24"/>
        <v>4.6401139123057253E-3</v>
      </c>
      <c r="S70" s="2"/>
      <c r="T70" s="6">
        <v>9314.5673076923104</v>
      </c>
      <c r="U70" s="2"/>
      <c r="V70" s="7">
        <f t="shared" si="25"/>
        <v>2.5003099851134882E-3</v>
      </c>
      <c r="W70" s="2"/>
      <c r="X70" s="6">
        <f t="shared" si="26"/>
        <v>763.63269230769038</v>
      </c>
      <c r="Y70" s="2"/>
      <c r="Z70" s="7">
        <f t="shared" si="27"/>
        <v>8.1982626469085107E-2</v>
      </c>
    </row>
    <row r="71" spans="1:26" s="24" customFormat="1" hidden="1" outlineLevel="2" x14ac:dyDescent="0.3">
      <c r="A71" s="27"/>
      <c r="B71" s="11" t="str">
        <f>CONCATENATE("          ", "6002", " - ", "STAFF SALARIES")</f>
        <v xml:space="preserve">          6002 - STAFF SALARIES</v>
      </c>
      <c r="C71" s="11"/>
      <c r="D71" s="6">
        <v>59729.71</v>
      </c>
      <c r="E71" s="2"/>
      <c r="F71" s="7">
        <f t="shared" si="20"/>
        <v>3.2179042714031887E-2</v>
      </c>
      <c r="G71" s="2"/>
      <c r="H71" s="6">
        <v>48833.212096484604</v>
      </c>
      <c r="I71" s="2"/>
      <c r="J71" s="7">
        <f t="shared" si="21"/>
        <v>1.5664830005105122E-2</v>
      </c>
      <c r="K71" s="2"/>
      <c r="L71" s="6">
        <f t="shared" si="22"/>
        <v>10896.497903515396</v>
      </c>
      <c r="M71" s="2"/>
      <c r="N71" s="7">
        <f t="shared" si="23"/>
        <v>0.22313702981458822</v>
      </c>
      <c r="O71" s="11"/>
      <c r="P71" s="6">
        <v>133380.37</v>
      </c>
      <c r="Q71" s="2"/>
      <c r="R71" s="7">
        <f t="shared" si="24"/>
        <v>6.1409786515993436E-2</v>
      </c>
      <c r="S71" s="2"/>
      <c r="T71" s="6">
        <v>109874.72721709</v>
      </c>
      <c r="U71" s="2"/>
      <c r="V71" s="7">
        <f t="shared" si="25"/>
        <v>2.9493681080133085E-2</v>
      </c>
      <c r="W71" s="2"/>
      <c r="X71" s="6">
        <f t="shared" si="26"/>
        <v>23505.642782909999</v>
      </c>
      <c r="Y71" s="2"/>
      <c r="Z71" s="7">
        <f t="shared" si="27"/>
        <v>0.21393129592456375</v>
      </c>
    </row>
    <row r="72" spans="1:26" s="24" customFormat="1" hidden="1" outlineLevel="2" x14ac:dyDescent="0.3">
      <c r="A72" s="27"/>
      <c r="B72" s="11" t="str">
        <f>CONCATENATE("          ", "6003", " - ", "STAFF HOURLY-9 MONTH")</f>
        <v xml:space="preserve">          6003 - STAFF HOURLY-9 MONTH</v>
      </c>
      <c r="C72" s="11"/>
      <c r="D72" s="6"/>
      <c r="E72" s="2"/>
      <c r="F72" s="7">
        <f t="shared" si="20"/>
        <v>0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0</v>
      </c>
      <c r="M72" s="2"/>
      <c r="N72" s="7">
        <f t="shared" si="23"/>
        <v>0</v>
      </c>
      <c r="O72" s="11"/>
      <c r="P72" s="6"/>
      <c r="Q72" s="2"/>
      <c r="R72" s="7">
        <f t="shared" si="24"/>
        <v>0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0</v>
      </c>
      <c r="Y72" s="2"/>
      <c r="Z72" s="7">
        <f t="shared" si="27"/>
        <v>0</v>
      </c>
    </row>
    <row r="73" spans="1:26" s="24" customFormat="1" hidden="1" outlineLevel="2" x14ac:dyDescent="0.3">
      <c r="A73" s="27"/>
      <c r="B73" s="11" t="str">
        <f>CONCATENATE("          ", "6004", " - ", "STAFF HOURLY")</f>
        <v xml:space="preserve">          6004 - STAFF HOURLY</v>
      </c>
      <c r="C73" s="11"/>
      <c r="D73" s="6">
        <v>20788.150000000001</v>
      </c>
      <c r="E73" s="2"/>
      <c r="F73" s="7">
        <f t="shared" si="20"/>
        <v>1.1199497985101586E-2</v>
      </c>
      <c r="G73" s="2"/>
      <c r="H73" s="6">
        <v>36942.734768000002</v>
      </c>
      <c r="I73" s="2"/>
      <c r="J73" s="7">
        <f t="shared" si="21"/>
        <v>1.1850575360904145E-2</v>
      </c>
      <c r="K73" s="2"/>
      <c r="L73" s="6">
        <f t="shared" si="22"/>
        <v>-16154.584768000001</v>
      </c>
      <c r="M73" s="2"/>
      <c r="N73" s="7">
        <f t="shared" si="23"/>
        <v>-0.43728719244665099</v>
      </c>
      <c r="O73" s="11"/>
      <c r="P73" s="6">
        <v>39483.03</v>
      </c>
      <c r="Q73" s="2"/>
      <c r="R73" s="7">
        <f t="shared" si="24"/>
        <v>1.8178420432516152E-2</v>
      </c>
      <c r="S73" s="2"/>
      <c r="T73" s="6">
        <v>83121.153227999996</v>
      </c>
      <c r="U73" s="2"/>
      <c r="V73" s="7">
        <f t="shared" si="25"/>
        <v>2.231221725334296E-2</v>
      </c>
      <c r="W73" s="2"/>
      <c r="X73" s="6">
        <f t="shared" si="26"/>
        <v>-43638.123227999997</v>
      </c>
      <c r="Y73" s="2"/>
      <c r="Z73" s="7">
        <f t="shared" si="27"/>
        <v>-0.52499419862837227</v>
      </c>
    </row>
    <row r="74" spans="1:26" s="24" customFormat="1" hidden="1" outlineLevel="2" x14ac:dyDescent="0.3">
      <c r="A74" s="27"/>
      <c r="B74" s="11" t="str">
        <f>CONCATENATE("          ", "6005", " - ", "TEMPORARY WAGES-HOURLY")</f>
        <v xml:space="preserve">          6005 - TEMPORARY WAGES-HOURLY</v>
      </c>
      <c r="C74" s="11"/>
      <c r="D74" s="6">
        <v>9622.7900000000009</v>
      </c>
      <c r="E74" s="2"/>
      <c r="F74" s="7">
        <f t="shared" si="20"/>
        <v>5.184223570450266E-3</v>
      </c>
      <c r="G74" s="2"/>
      <c r="H74" s="6">
        <v>4181</v>
      </c>
      <c r="I74" s="2"/>
      <c r="J74" s="7">
        <f t="shared" si="21"/>
        <v>1.3411907888004634E-3</v>
      </c>
      <c r="K74" s="2"/>
      <c r="L74" s="6">
        <f t="shared" si="22"/>
        <v>5441.7900000000009</v>
      </c>
      <c r="M74" s="2"/>
      <c r="N74" s="7">
        <f t="shared" si="23"/>
        <v>1.3015522602248268</v>
      </c>
      <c r="O74" s="11"/>
      <c r="P74" s="6">
        <v>19070.59</v>
      </c>
      <c r="Q74" s="2"/>
      <c r="R74" s="7">
        <f t="shared" si="24"/>
        <v>8.7803089812544342E-3</v>
      </c>
      <c r="S74" s="2"/>
      <c r="T74" s="6">
        <v>8191</v>
      </c>
      <c r="U74" s="2"/>
      <c r="V74" s="7">
        <f t="shared" si="25"/>
        <v>2.1987107303579651E-3</v>
      </c>
      <c r="W74" s="2"/>
      <c r="X74" s="6">
        <f t="shared" si="26"/>
        <v>10879.59</v>
      </c>
      <c r="Y74" s="2"/>
      <c r="Z74" s="7">
        <f t="shared" si="27"/>
        <v>1.328237089488463</v>
      </c>
    </row>
    <row r="75" spans="1:26" s="24" customFormat="1" hidden="1" outlineLevel="2" x14ac:dyDescent="0.3">
      <c r="A75" s="27"/>
      <c r="B75" s="11" t="str">
        <f>CONCATENATE("          ", "6006", " - ", "TEMPORARY PART TIME")</f>
        <v xml:space="preserve">          6006 - TEMPORARY PART TIME</v>
      </c>
      <c r="C75" s="11"/>
      <c r="D75" s="6">
        <v>3273.79</v>
      </c>
      <c r="E75" s="2"/>
      <c r="F75" s="7">
        <f t="shared" si="20"/>
        <v>1.7637358066324188E-3</v>
      </c>
      <c r="G75" s="2"/>
      <c r="H75" s="6">
        <v>0</v>
      </c>
      <c r="I75" s="2"/>
      <c r="J75" s="7">
        <f t="shared" si="21"/>
        <v>0</v>
      </c>
      <c r="K75" s="2"/>
      <c r="L75" s="6">
        <f t="shared" si="22"/>
        <v>3273.79</v>
      </c>
      <c r="M75" s="2"/>
      <c r="N75" s="7">
        <f t="shared" si="23"/>
        <v>0</v>
      </c>
      <c r="O75" s="11"/>
      <c r="P75" s="6">
        <v>6138.19</v>
      </c>
      <c r="Q75" s="2"/>
      <c r="R75" s="7">
        <f t="shared" si="24"/>
        <v>2.8260900572895827E-3</v>
      </c>
      <c r="S75" s="2"/>
      <c r="T75" s="6">
        <v>0</v>
      </c>
      <c r="U75" s="2"/>
      <c r="V75" s="7">
        <f t="shared" si="25"/>
        <v>0</v>
      </c>
      <c r="W75" s="2"/>
      <c r="X75" s="6">
        <f t="shared" si="26"/>
        <v>6138.19</v>
      </c>
      <c r="Y75" s="2"/>
      <c r="Z75" s="7">
        <f t="shared" si="27"/>
        <v>0</v>
      </c>
    </row>
    <row r="76" spans="1:26" s="24" customFormat="1" hidden="1" outlineLevel="2" x14ac:dyDescent="0.3">
      <c r="A76" s="27"/>
      <c r="B76" s="11" t="str">
        <f>CONCATENATE("          ", "6007", " - ", "STUDENT HOURLY")</f>
        <v xml:space="preserve">          6007 - STUDENT HOURLY</v>
      </c>
      <c r="C76" s="11"/>
      <c r="D76" s="6">
        <v>82627.88</v>
      </c>
      <c r="E76" s="2"/>
      <c r="F76" s="7">
        <f t="shared" si="20"/>
        <v>4.4515302014523452E-2</v>
      </c>
      <c r="G76" s="2"/>
      <c r="H76" s="6">
        <v>51762.8675</v>
      </c>
      <c r="I76" s="2"/>
      <c r="J76" s="7">
        <f t="shared" si="21"/>
        <v>1.6604611598397243E-2</v>
      </c>
      <c r="K76" s="2"/>
      <c r="L76" s="6">
        <f t="shared" si="22"/>
        <v>30865.012500000004</v>
      </c>
      <c r="M76" s="2"/>
      <c r="N76" s="7">
        <f t="shared" si="23"/>
        <v>0.59627709960233566</v>
      </c>
      <c r="O76" s="11"/>
      <c r="P76" s="6">
        <v>139370.20000000001</v>
      </c>
      <c r="Q76" s="2"/>
      <c r="R76" s="7">
        <f t="shared" si="24"/>
        <v>6.416757000067784E-2</v>
      </c>
      <c r="S76" s="2"/>
      <c r="T76" s="6">
        <v>104496.28</v>
      </c>
      <c r="U76" s="2"/>
      <c r="V76" s="7">
        <f t="shared" si="25"/>
        <v>2.8049944099437236E-2</v>
      </c>
      <c r="W76" s="2"/>
      <c r="X76" s="6">
        <f t="shared" si="26"/>
        <v>34873.920000000013</v>
      </c>
      <c r="Y76" s="2"/>
      <c r="Z76" s="7">
        <f t="shared" si="27"/>
        <v>0.33373360276557223</v>
      </c>
    </row>
    <row r="77" spans="1:26" s="24" customFormat="1" hidden="1" outlineLevel="2" x14ac:dyDescent="0.3">
      <c r="A77" s="27"/>
      <c r="B77" s="11" t="str">
        <f>CONCATENATE("          ", "6008", " - ", "STUDENT HOURLY-FICA EXEMPT")</f>
        <v xml:space="preserve">          6008 - STUDENT HOURLY-FICA EXEMPT</v>
      </c>
      <c r="C77" s="11"/>
      <c r="D77" s="6">
        <v>15436.85</v>
      </c>
      <c r="E77" s="2"/>
      <c r="F77" s="7">
        <f t="shared" si="20"/>
        <v>8.3165154413122576E-3</v>
      </c>
      <c r="G77" s="2"/>
      <c r="H77" s="6">
        <v>73785.684999999998</v>
      </c>
      <c r="I77" s="2"/>
      <c r="J77" s="7">
        <f t="shared" si="21"/>
        <v>2.3669141609024759E-2</v>
      </c>
      <c r="K77" s="2"/>
      <c r="L77" s="6">
        <f t="shared" si="22"/>
        <v>-58348.834999999999</v>
      </c>
      <c r="M77" s="2"/>
      <c r="N77" s="7">
        <f t="shared" si="23"/>
        <v>-0.79078800989649956</v>
      </c>
      <c r="O77" s="11"/>
      <c r="P77" s="6">
        <v>25221.200000000001</v>
      </c>
      <c r="Q77" s="2"/>
      <c r="R77" s="7">
        <f t="shared" si="24"/>
        <v>1.1612117342883168E-2</v>
      </c>
      <c r="S77" s="2"/>
      <c r="T77" s="6">
        <v>108285.685</v>
      </c>
      <c r="U77" s="2"/>
      <c r="V77" s="7">
        <f t="shared" si="25"/>
        <v>2.9067134361331036E-2</v>
      </c>
      <c r="W77" s="2"/>
      <c r="X77" s="6">
        <f t="shared" si="26"/>
        <v>-83064.485000000001</v>
      </c>
      <c r="Y77" s="2"/>
      <c r="Z77" s="7">
        <f t="shared" si="27"/>
        <v>-0.76708648054449668</v>
      </c>
    </row>
    <row r="78" spans="1:26" s="24" customFormat="1" hidden="1" outlineLevel="2" x14ac:dyDescent="0.3">
      <c r="A78" s="27"/>
      <c r="B78" s="11" t="str">
        <f>CONCATENATE("          ", "6009", " - ", "TEMPORARY-SEASONAL")</f>
        <v xml:space="preserve">          6009 - TEMPORARY-SEASONAL</v>
      </c>
      <c r="C78" s="11"/>
      <c r="D78" s="6"/>
      <c r="E78" s="2"/>
      <c r="F78" s="7">
        <f t="shared" si="20"/>
        <v>0</v>
      </c>
      <c r="G78" s="2"/>
      <c r="H78" s="6">
        <v>0</v>
      </c>
      <c r="I78" s="2"/>
      <c r="J78" s="7">
        <f t="shared" si="21"/>
        <v>0</v>
      </c>
      <c r="K78" s="2"/>
      <c r="L78" s="6">
        <f t="shared" si="22"/>
        <v>0</v>
      </c>
      <c r="M78" s="2"/>
      <c r="N78" s="7">
        <f t="shared" si="23"/>
        <v>0</v>
      </c>
      <c r="O78" s="11"/>
      <c r="P78" s="6"/>
      <c r="Q78" s="2"/>
      <c r="R78" s="7">
        <f t="shared" si="24"/>
        <v>0</v>
      </c>
      <c r="S78" s="2"/>
      <c r="T78" s="6">
        <v>0</v>
      </c>
      <c r="U78" s="2"/>
      <c r="V78" s="7">
        <f t="shared" si="25"/>
        <v>0</v>
      </c>
      <c r="W78" s="2"/>
      <c r="X78" s="6">
        <f t="shared" si="26"/>
        <v>0</v>
      </c>
      <c r="Y78" s="2"/>
      <c r="Z78" s="7">
        <f t="shared" si="27"/>
        <v>0</v>
      </c>
    </row>
    <row r="79" spans="1:26" s="24" customFormat="1" hidden="1" outlineLevel="2" x14ac:dyDescent="0.3">
      <c r="A79" s="27"/>
      <c r="B79" s="11" t="str">
        <f>CONCATENATE("          ", "6010", " - ", "GRATUITY")</f>
        <v xml:space="preserve">          6010 - GRATUITY</v>
      </c>
      <c r="C79" s="11"/>
      <c r="D79" s="6"/>
      <c r="E79" s="2"/>
      <c r="F79" s="7">
        <f t="shared" si="20"/>
        <v>0</v>
      </c>
      <c r="G79" s="2"/>
      <c r="H79" s="6">
        <v>0</v>
      </c>
      <c r="I79" s="2"/>
      <c r="J79" s="7">
        <f t="shared" si="21"/>
        <v>0</v>
      </c>
      <c r="K79" s="2"/>
      <c r="L79" s="6">
        <f t="shared" si="22"/>
        <v>0</v>
      </c>
      <c r="M79" s="2"/>
      <c r="N79" s="7">
        <f t="shared" si="23"/>
        <v>0</v>
      </c>
      <c r="O79" s="11"/>
      <c r="P79" s="6"/>
      <c r="Q79" s="2"/>
      <c r="R79" s="7">
        <f t="shared" si="24"/>
        <v>0</v>
      </c>
      <c r="S79" s="2"/>
      <c r="T79" s="6">
        <v>0</v>
      </c>
      <c r="U79" s="2"/>
      <c r="V79" s="7">
        <f t="shared" si="25"/>
        <v>0</v>
      </c>
      <c r="W79" s="2"/>
      <c r="X79" s="6">
        <f t="shared" si="26"/>
        <v>0</v>
      </c>
      <c r="Y79" s="2"/>
      <c r="Z79" s="7">
        <f t="shared" si="27"/>
        <v>0</v>
      </c>
    </row>
    <row r="80" spans="1:26" s="28" customFormat="1" outlineLevel="1" collapsed="1" x14ac:dyDescent="0.3">
      <c r="A80" s="29"/>
      <c r="B80" s="14" t="str">
        <f>CONCATENATE("     ","Advertising/Promo                                 ")</f>
        <v xml:space="preserve">     Advertising/Promo                                 </v>
      </c>
      <c r="C80" s="14"/>
      <c r="D80" s="1">
        <f>SUM(OSRRefD22_2x_0)</f>
        <v>1582.16</v>
      </c>
      <c r="E80" s="1"/>
      <c r="F80" s="5">
        <f t="shared" ref="F80:F88" si="28">IF(D$12=0,0,D80/D$12)</f>
        <v>8.523797323046219E-4</v>
      </c>
      <c r="G80" s="1"/>
      <c r="H80" s="1">
        <f>SUM(OSRRefH22_2x_0)</f>
        <v>800</v>
      </c>
      <c r="I80" s="1"/>
      <c r="J80" s="5">
        <f t="shared" ref="J80:J88" si="29">IF(H$12=0,0,H80/H$12)</f>
        <v>2.5662583856502532E-4</v>
      </c>
      <c r="K80" s="1"/>
      <c r="L80" s="1">
        <f t="shared" ref="L80:L88" si="30">+D80-H80</f>
        <v>782.16000000000008</v>
      </c>
      <c r="M80" s="1"/>
      <c r="N80" s="5">
        <f t="shared" ref="N80:N88" si="31">IF(H80=0,0,L80/H80)</f>
        <v>0.97770000000000012</v>
      </c>
      <c r="O80" s="14"/>
      <c r="P80" s="1">
        <f>SUM(OSRRefP22_2x_0)</f>
        <v>2121.21</v>
      </c>
      <c r="Q80" s="1"/>
      <c r="R80" s="5">
        <f t="shared" ref="R80:R88" si="32">IF(P$12=0,0,P80/P$12)</f>
        <v>9.7662836934393304E-4</v>
      </c>
      <c r="S80" s="1"/>
      <c r="T80" s="1">
        <f>SUM(OSRRefT22_2x_0)</f>
        <v>4000</v>
      </c>
      <c r="U80" s="1"/>
      <c r="V80" s="5">
        <f t="shared" ref="V80:V88" si="33">IF(T$12=0,0,T80/T$12)</f>
        <v>1.0737202931793261E-3</v>
      </c>
      <c r="W80" s="1"/>
      <c r="X80" s="1">
        <f t="shared" ref="X80:X88" si="34">+P80-T80</f>
        <v>-1878.79</v>
      </c>
      <c r="Y80" s="1"/>
      <c r="Z80" s="5">
        <f t="shared" ref="Z80:Z88" si="35">IF(T80=0,0,X80/T80)</f>
        <v>-0.46969749999999999</v>
      </c>
    </row>
    <row r="81" spans="1:26" s="24" customFormat="1" hidden="1" outlineLevel="2" x14ac:dyDescent="0.3">
      <c r="A81" s="27"/>
      <c r="B81" s="11" t="str">
        <f>CONCATENATE("          ", "6362", " - ", "ADVERTISING EXPENSE")</f>
        <v xml:space="preserve">          6362 - ADVERTISING EXPENSE</v>
      </c>
      <c r="C81" s="11"/>
      <c r="D81" s="6">
        <v>1582.16</v>
      </c>
      <c r="E81" s="2"/>
      <c r="F81" s="7">
        <f t="shared" si="28"/>
        <v>8.523797323046219E-4</v>
      </c>
      <c r="G81" s="2"/>
      <c r="H81" s="6">
        <v>800</v>
      </c>
      <c r="I81" s="2"/>
      <c r="J81" s="7">
        <f t="shared" si="29"/>
        <v>2.5662583856502532E-4</v>
      </c>
      <c r="K81" s="2"/>
      <c r="L81" s="6">
        <f t="shared" si="30"/>
        <v>782.16000000000008</v>
      </c>
      <c r="M81" s="2"/>
      <c r="N81" s="7">
        <f t="shared" si="31"/>
        <v>0.97770000000000012</v>
      </c>
      <c r="O81" s="11"/>
      <c r="P81" s="6">
        <v>2121.21</v>
      </c>
      <c r="Q81" s="2"/>
      <c r="R81" s="7">
        <f t="shared" si="32"/>
        <v>9.7662836934393304E-4</v>
      </c>
      <c r="S81" s="2"/>
      <c r="T81" s="6">
        <v>4000</v>
      </c>
      <c r="U81" s="2"/>
      <c r="V81" s="7">
        <f t="shared" si="33"/>
        <v>1.0737202931793261E-3</v>
      </c>
      <c r="W81" s="2"/>
      <c r="X81" s="6">
        <f t="shared" si="34"/>
        <v>-1878.79</v>
      </c>
      <c r="Y81" s="2"/>
      <c r="Z81" s="7">
        <f t="shared" si="35"/>
        <v>-0.46969749999999999</v>
      </c>
    </row>
    <row r="82" spans="1:26" s="28" customFormat="1" outlineLevel="1" collapsed="1" x14ac:dyDescent="0.3">
      <c r="A82" s="29"/>
      <c r="B82" s="14" t="str">
        <f>CONCATENATE("     ","Bad Debts/Over/Short                              ")</f>
        <v xml:space="preserve">     Bad Debts/Over/Short                              </v>
      </c>
      <c r="C82" s="14"/>
      <c r="D82" s="1">
        <f>SUM(OSRRefD22_3x_0)</f>
        <v>150.76</v>
      </c>
      <c r="E82" s="1"/>
      <c r="F82" s="5">
        <f t="shared" si="28"/>
        <v>8.1221095491129083E-5</v>
      </c>
      <c r="G82" s="1"/>
      <c r="H82" s="1">
        <f>SUM(OSRRefH22_3x_0)</f>
        <v>235</v>
      </c>
      <c r="I82" s="1"/>
      <c r="J82" s="5">
        <f t="shared" si="29"/>
        <v>7.5383840078476177E-5</v>
      </c>
      <c r="K82" s="1"/>
      <c r="L82" s="1">
        <f t="shared" si="30"/>
        <v>-84.240000000000009</v>
      </c>
      <c r="M82" s="1"/>
      <c r="N82" s="5">
        <f t="shared" si="31"/>
        <v>-0.35846808510638301</v>
      </c>
      <c r="O82" s="14"/>
      <c r="P82" s="1">
        <f>SUM(OSRRefP22_3x_0)</f>
        <v>152.03</v>
      </c>
      <c r="Q82" s="1"/>
      <c r="R82" s="5">
        <f t="shared" si="32"/>
        <v>6.9996280892206872E-5</v>
      </c>
      <c r="S82" s="1"/>
      <c r="T82" s="1">
        <f>SUM(OSRRefT22_3x_0)</f>
        <v>470</v>
      </c>
      <c r="U82" s="1"/>
      <c r="V82" s="5">
        <f t="shared" si="33"/>
        <v>1.2616213444857082E-4</v>
      </c>
      <c r="W82" s="1"/>
      <c r="X82" s="1">
        <f t="shared" si="34"/>
        <v>-317.97000000000003</v>
      </c>
      <c r="Y82" s="1"/>
      <c r="Z82" s="5">
        <f t="shared" si="35"/>
        <v>-0.67653191489361708</v>
      </c>
    </row>
    <row r="83" spans="1:26" s="24" customFormat="1" hidden="1" outlineLevel="2" x14ac:dyDescent="0.3">
      <c r="A83" s="27"/>
      <c r="B83" s="11" t="str">
        <f>CONCATENATE("          ", "6272", " - ", "CASH (OVER/SHORT)")</f>
        <v xml:space="preserve">          6272 - CASH (OVER/SHORT)</v>
      </c>
      <c r="C83" s="11"/>
      <c r="D83" s="6">
        <v>150.76</v>
      </c>
      <c r="E83" s="2"/>
      <c r="F83" s="7">
        <f t="shared" si="28"/>
        <v>8.1221095491129083E-5</v>
      </c>
      <c r="G83" s="2"/>
      <c r="H83" s="6">
        <v>235</v>
      </c>
      <c r="I83" s="2"/>
      <c r="J83" s="7">
        <f t="shared" si="29"/>
        <v>7.5383840078476177E-5</v>
      </c>
      <c r="K83" s="2"/>
      <c r="L83" s="6">
        <f t="shared" si="30"/>
        <v>-84.240000000000009</v>
      </c>
      <c r="M83" s="2"/>
      <c r="N83" s="7">
        <f t="shared" si="31"/>
        <v>-0.35846808510638301</v>
      </c>
      <c r="O83" s="11"/>
      <c r="P83" s="6">
        <v>152.03</v>
      </c>
      <c r="Q83" s="2"/>
      <c r="R83" s="7">
        <f t="shared" si="32"/>
        <v>6.9996280892206872E-5</v>
      </c>
      <c r="S83" s="2"/>
      <c r="T83" s="6">
        <v>470</v>
      </c>
      <c r="U83" s="2"/>
      <c r="V83" s="7">
        <f t="shared" si="33"/>
        <v>1.2616213444857082E-4</v>
      </c>
      <c r="W83" s="2"/>
      <c r="X83" s="6">
        <f t="shared" si="34"/>
        <v>-317.97000000000003</v>
      </c>
      <c r="Y83" s="2"/>
      <c r="Z83" s="7">
        <f t="shared" si="35"/>
        <v>-0.67653191489361708</v>
      </c>
    </row>
    <row r="84" spans="1:26" s="28" customFormat="1" outlineLevel="1" collapsed="1" x14ac:dyDescent="0.3">
      <c r="A84" s="29"/>
      <c r="B84" s="14" t="str">
        <f>CONCATENATE("     ","Bank/card Fees                                    ")</f>
        <v xml:space="preserve">     Bank/card Fees                                    </v>
      </c>
      <c r="C84" s="14"/>
      <c r="D84" s="1">
        <f>SUM(OSRRefD22_4x_0)</f>
        <v>23002.82</v>
      </c>
      <c r="E84" s="1"/>
      <c r="F84" s="5">
        <f t="shared" si="28"/>
        <v>1.239263889483453E-2</v>
      </c>
      <c r="G84" s="1"/>
      <c r="H84" s="1">
        <f>SUM(OSRRefH22_4x_0)</f>
        <v>48514</v>
      </c>
      <c r="I84" s="1"/>
      <c r="J84" s="5">
        <f t="shared" si="29"/>
        <v>1.5562432415179546E-2</v>
      </c>
      <c r="K84" s="1"/>
      <c r="L84" s="1">
        <f t="shared" si="30"/>
        <v>-25511.18</v>
      </c>
      <c r="M84" s="1"/>
      <c r="N84" s="5">
        <f t="shared" si="31"/>
        <v>-0.525851919033681</v>
      </c>
      <c r="O84" s="14"/>
      <c r="P84" s="1">
        <f>SUM(OSRRefP22_4x_0)</f>
        <v>26964.7</v>
      </c>
      <c r="Q84" s="1"/>
      <c r="R84" s="5">
        <f t="shared" si="32"/>
        <v>1.2414843881958106E-2</v>
      </c>
      <c r="S84" s="1"/>
      <c r="T84" s="1">
        <f>SUM(OSRRefT22_4x_0)</f>
        <v>59756</v>
      </c>
      <c r="U84" s="1"/>
      <c r="V84" s="5">
        <f t="shared" si="33"/>
        <v>1.604030745980595E-2</v>
      </c>
      <c r="W84" s="1"/>
      <c r="X84" s="1">
        <f t="shared" si="34"/>
        <v>-32791.300000000003</v>
      </c>
      <c r="Y84" s="1"/>
      <c r="Z84" s="5">
        <f t="shared" si="35"/>
        <v>-0.54875326327063401</v>
      </c>
    </row>
    <row r="85" spans="1:26" s="24" customFormat="1" hidden="1" outlineLevel="2" x14ac:dyDescent="0.3">
      <c r="A85" s="27"/>
      <c r="B85" s="11" t="str">
        <f>CONCATENATE("          ", "6381", " - ", "BANK/CREDIT CARD FEES")</f>
        <v xml:space="preserve">          6381 - BANK/CREDIT CARD FEES</v>
      </c>
      <c r="C85" s="11"/>
      <c r="D85" s="6">
        <v>23002.82</v>
      </c>
      <c r="E85" s="2"/>
      <c r="F85" s="7">
        <f t="shared" si="28"/>
        <v>1.239263889483453E-2</v>
      </c>
      <c r="G85" s="2"/>
      <c r="H85" s="6">
        <v>48514</v>
      </c>
      <c r="I85" s="2"/>
      <c r="J85" s="7">
        <f t="shared" si="29"/>
        <v>1.5562432415179546E-2</v>
      </c>
      <c r="K85" s="2"/>
      <c r="L85" s="6">
        <f t="shared" si="30"/>
        <v>-25511.18</v>
      </c>
      <c r="M85" s="2"/>
      <c r="N85" s="7">
        <f t="shared" si="31"/>
        <v>-0.525851919033681</v>
      </c>
      <c r="O85" s="11"/>
      <c r="P85" s="6">
        <v>26964.7</v>
      </c>
      <c r="Q85" s="2"/>
      <c r="R85" s="7">
        <f t="shared" si="32"/>
        <v>1.2414843881958106E-2</v>
      </c>
      <c r="S85" s="2"/>
      <c r="T85" s="6">
        <v>59756</v>
      </c>
      <c r="U85" s="2"/>
      <c r="V85" s="7">
        <f t="shared" si="33"/>
        <v>1.604030745980595E-2</v>
      </c>
      <c r="W85" s="2"/>
      <c r="X85" s="6">
        <f t="shared" si="34"/>
        <v>-32791.300000000003</v>
      </c>
      <c r="Y85" s="2"/>
      <c r="Z85" s="7">
        <f t="shared" si="35"/>
        <v>-0.54875326327063401</v>
      </c>
    </row>
    <row r="86" spans="1:26" s="28" customFormat="1" outlineLevel="1" collapsed="1" x14ac:dyDescent="0.3">
      <c r="A86" s="29"/>
      <c r="B86" s="14" t="str">
        <f>CONCATENATE("     ","Depreciation                                      ")</f>
        <v xml:space="preserve">     Depreciation                                      </v>
      </c>
      <c r="C86" s="14"/>
      <c r="D86" s="1">
        <f>SUM(OSRRefD22_5x_0)</f>
        <v>31001.120000000003</v>
      </c>
      <c r="E86" s="1"/>
      <c r="F86" s="5">
        <f t="shared" si="28"/>
        <v>1.6701677685406952E-2</v>
      </c>
      <c r="G86" s="1"/>
      <c r="H86" s="1">
        <f>SUM(OSRRefH22_5x_0)</f>
        <v>30600</v>
      </c>
      <c r="I86" s="1"/>
      <c r="J86" s="5">
        <f t="shared" si="29"/>
        <v>9.8159383251122181E-3</v>
      </c>
      <c r="K86" s="1"/>
      <c r="L86" s="1">
        <f t="shared" si="30"/>
        <v>401.12000000000262</v>
      </c>
      <c r="M86" s="1"/>
      <c r="N86" s="5">
        <f t="shared" si="31"/>
        <v>1.3108496732026229E-2</v>
      </c>
      <c r="O86" s="14"/>
      <c r="P86" s="1">
        <f>SUM(OSRRefP22_5x_0)</f>
        <v>62002.240000000005</v>
      </c>
      <c r="Q86" s="1"/>
      <c r="R86" s="5">
        <f t="shared" si="32"/>
        <v>2.8546511918608335E-2</v>
      </c>
      <c r="S86" s="1"/>
      <c r="T86" s="1">
        <f>SUM(OSRRefT22_5x_0)</f>
        <v>61200</v>
      </c>
      <c r="U86" s="1"/>
      <c r="V86" s="5">
        <f t="shared" si="33"/>
        <v>1.6427920485643687E-2</v>
      </c>
      <c r="W86" s="1"/>
      <c r="X86" s="1">
        <f t="shared" si="34"/>
        <v>802.24000000000524</v>
      </c>
      <c r="Y86" s="1"/>
      <c r="Z86" s="5">
        <f t="shared" si="35"/>
        <v>1.3108496732026229E-2</v>
      </c>
    </row>
    <row r="87" spans="1:26" s="24" customFormat="1" hidden="1" outlineLevel="2" x14ac:dyDescent="0.3">
      <c r="A87" s="27"/>
      <c r="B87" s="11" t="str">
        <f>CONCATENATE("          ", "6321", " - ", "BUILDING DEPRECIATION")</f>
        <v xml:space="preserve">          6321 - BUILDING DEPRECIATION</v>
      </c>
      <c r="C87" s="11"/>
      <c r="D87" s="6">
        <v>16396.52</v>
      </c>
      <c r="E87" s="2"/>
      <c r="F87" s="7">
        <f t="shared" si="28"/>
        <v>8.8335322143951178E-3</v>
      </c>
      <c r="G87" s="2"/>
      <c r="H87" s="6"/>
      <c r="I87" s="2"/>
      <c r="J87" s="7">
        <f t="shared" si="29"/>
        <v>0</v>
      </c>
      <c r="K87" s="2"/>
      <c r="L87" s="6">
        <f t="shared" si="30"/>
        <v>16396.52</v>
      </c>
      <c r="M87" s="2"/>
      <c r="N87" s="7">
        <f t="shared" si="31"/>
        <v>0</v>
      </c>
      <c r="O87" s="11"/>
      <c r="P87" s="6">
        <v>32793.040000000001</v>
      </c>
      <c r="Q87" s="2"/>
      <c r="R87" s="7">
        <f t="shared" si="32"/>
        <v>1.5098275597904201E-2</v>
      </c>
      <c r="S87" s="2"/>
      <c r="T87" s="6"/>
      <c r="U87" s="2"/>
      <c r="V87" s="7">
        <f t="shared" si="33"/>
        <v>0</v>
      </c>
      <c r="W87" s="2"/>
      <c r="X87" s="6">
        <f t="shared" si="34"/>
        <v>32793.040000000001</v>
      </c>
      <c r="Y87" s="2"/>
      <c r="Z87" s="7">
        <f t="shared" si="35"/>
        <v>0</v>
      </c>
    </row>
    <row r="88" spans="1:26" s="24" customFormat="1" hidden="1" outlineLevel="2" x14ac:dyDescent="0.3">
      <c r="A88" s="27"/>
      <c r="B88" s="11" t="str">
        <f>CONCATENATE("          ", "6322", " - ", "EQUIPMENT DEPRECIATION EXPENSE")</f>
        <v xml:space="preserve">          6322 - EQUIPMENT DEPRECIATION EXPENSE</v>
      </c>
      <c r="C88" s="11"/>
      <c r="D88" s="6">
        <v>14604.6</v>
      </c>
      <c r="E88" s="2"/>
      <c r="F88" s="7">
        <f t="shared" si="28"/>
        <v>7.868145471011832E-3</v>
      </c>
      <c r="G88" s="2"/>
      <c r="H88" s="6">
        <v>30600</v>
      </c>
      <c r="I88" s="2"/>
      <c r="J88" s="7">
        <f t="shared" si="29"/>
        <v>9.8159383251122181E-3</v>
      </c>
      <c r="K88" s="2"/>
      <c r="L88" s="6">
        <f t="shared" si="30"/>
        <v>-15995.4</v>
      </c>
      <c r="M88" s="2"/>
      <c r="N88" s="7">
        <f t="shared" si="31"/>
        <v>-0.52272549019607839</v>
      </c>
      <c r="O88" s="11"/>
      <c r="P88" s="6">
        <v>29209.200000000001</v>
      </c>
      <c r="Q88" s="2"/>
      <c r="R88" s="7">
        <f t="shared" si="32"/>
        <v>1.344823632070413E-2</v>
      </c>
      <c r="S88" s="2"/>
      <c r="T88" s="6">
        <v>61200</v>
      </c>
      <c r="U88" s="2"/>
      <c r="V88" s="7">
        <f t="shared" si="33"/>
        <v>1.6427920485643687E-2</v>
      </c>
      <c r="W88" s="2"/>
      <c r="X88" s="6">
        <f t="shared" si="34"/>
        <v>-31990.799999999999</v>
      </c>
      <c r="Y88" s="2"/>
      <c r="Z88" s="7">
        <f t="shared" si="35"/>
        <v>-0.52272549019607839</v>
      </c>
    </row>
    <row r="89" spans="1:26" s="28" customFormat="1" outlineLevel="1" collapsed="1" x14ac:dyDescent="0.3">
      <c r="A89" s="29"/>
      <c r="B89" s="14" t="str">
        <f>CONCATENATE("     ","Discounts and Markdowns                           ")</f>
        <v xml:space="preserve">     Discounts and Markdowns                           </v>
      </c>
      <c r="C89" s="14"/>
      <c r="D89" s="1">
        <f>SUM(OSRRefD22_6x_0)</f>
        <v>-157.30000000000001</v>
      </c>
      <c r="E89" s="1"/>
      <c r="F89" s="5">
        <f t="shared" ref="F89:F91" si="36">IF(D$12=0,0,D89/D$12)</f>
        <v>-8.4744483422357429E-5</v>
      </c>
      <c r="G89" s="1"/>
      <c r="H89" s="1">
        <f>SUM(OSRRefH22_6x_0)</f>
        <v>0</v>
      </c>
      <c r="I89" s="1"/>
      <c r="J89" s="5">
        <f t="shared" ref="J89:J91" si="37">IF(H$12=0,0,H89/H$12)</f>
        <v>0</v>
      </c>
      <c r="K89" s="1"/>
      <c r="L89" s="1">
        <f t="shared" ref="L89:L91" si="38">+D89-H89</f>
        <v>-157.30000000000001</v>
      </c>
      <c r="M89" s="1"/>
      <c r="N89" s="5">
        <f t="shared" ref="N89:N91" si="39">IF(H89=0,0,L89/H89)</f>
        <v>0</v>
      </c>
      <c r="O89" s="14"/>
      <c r="P89" s="1">
        <f>SUM(OSRRefP22_6x_0)</f>
        <v>-157.97999999999999</v>
      </c>
      <c r="Q89" s="1"/>
      <c r="R89" s="5">
        <f t="shared" ref="R89:R91" si="40">IF(P$12=0,0,P89/P$12)</f>
        <v>-7.2735726207661918E-5</v>
      </c>
      <c r="S89" s="1"/>
      <c r="T89" s="1">
        <f>SUM(OSRRefT22_6x_0)</f>
        <v>0</v>
      </c>
      <c r="U89" s="1"/>
      <c r="V89" s="5">
        <f t="shared" ref="V89:V91" si="41">IF(T$12=0,0,T89/T$12)</f>
        <v>0</v>
      </c>
      <c r="W89" s="1"/>
      <c r="X89" s="1">
        <f t="shared" ref="X89:X91" si="42">+P89-T89</f>
        <v>-157.97999999999999</v>
      </c>
      <c r="Y89" s="1"/>
      <c r="Z89" s="5">
        <f t="shared" ref="Z89:Z91" si="43">IF(T89=0,0,X89/T89)</f>
        <v>0</v>
      </c>
    </row>
    <row r="90" spans="1:26" s="24" customFormat="1" hidden="1" outlineLevel="2" x14ac:dyDescent="0.3">
      <c r="A90" s="27"/>
      <c r="B90" s="11" t="str">
        <f>CONCATENATE("          ", "6382", " - ", "DISCOUNTS/MARK DOWNS")</f>
        <v xml:space="preserve">          6382 - DISCOUNTS/MARK DOWNS</v>
      </c>
      <c r="C90" s="11"/>
      <c r="D90" s="6"/>
      <c r="E90" s="2"/>
      <c r="F90" s="7">
        <f t="shared" si="36"/>
        <v>0</v>
      </c>
      <c r="G90" s="2"/>
      <c r="H90" s="6">
        <v>0</v>
      </c>
      <c r="I90" s="2"/>
      <c r="J90" s="7">
        <f t="shared" si="37"/>
        <v>0</v>
      </c>
      <c r="K90" s="2"/>
      <c r="L90" s="6">
        <f t="shared" si="38"/>
        <v>0</v>
      </c>
      <c r="M90" s="2"/>
      <c r="N90" s="7">
        <f t="shared" si="39"/>
        <v>0</v>
      </c>
      <c r="O90" s="11"/>
      <c r="P90" s="6"/>
      <c r="Q90" s="2"/>
      <c r="R90" s="7">
        <f t="shared" si="40"/>
        <v>0</v>
      </c>
      <c r="S90" s="2"/>
      <c r="T90" s="6">
        <v>0</v>
      </c>
      <c r="U90" s="2"/>
      <c r="V90" s="7">
        <f t="shared" si="41"/>
        <v>0</v>
      </c>
      <c r="W90" s="2"/>
      <c r="X90" s="6">
        <f t="shared" si="42"/>
        <v>0</v>
      </c>
      <c r="Y90" s="2"/>
      <c r="Z90" s="7">
        <f t="shared" si="43"/>
        <v>0</v>
      </c>
    </row>
    <row r="91" spans="1:26" s="24" customFormat="1" hidden="1" outlineLevel="2" x14ac:dyDescent="0.3">
      <c r="A91" s="27"/>
      <c r="B91" s="11" t="str">
        <f>CONCATENATE("          ", "9175", " - ", "EARNED DISCOUNTS")</f>
        <v xml:space="preserve">          9175 - EARNED DISCOUNTS</v>
      </c>
      <c r="C91" s="11"/>
      <c r="D91" s="6">
        <v>-157.30000000000001</v>
      </c>
      <c r="E91" s="2"/>
      <c r="F91" s="7">
        <f t="shared" si="36"/>
        <v>-8.4744483422357429E-5</v>
      </c>
      <c r="G91" s="2"/>
      <c r="H91" s="6"/>
      <c r="I91" s="2"/>
      <c r="J91" s="7">
        <f t="shared" si="37"/>
        <v>0</v>
      </c>
      <c r="K91" s="2"/>
      <c r="L91" s="6">
        <f t="shared" si="38"/>
        <v>-157.30000000000001</v>
      </c>
      <c r="M91" s="2"/>
      <c r="N91" s="7">
        <f t="shared" si="39"/>
        <v>0</v>
      </c>
      <c r="O91" s="11"/>
      <c r="P91" s="6">
        <v>-157.97999999999999</v>
      </c>
      <c r="Q91" s="2"/>
      <c r="R91" s="7">
        <f t="shared" si="40"/>
        <v>-7.2735726207661918E-5</v>
      </c>
      <c r="S91" s="2"/>
      <c r="T91" s="6"/>
      <c r="U91" s="2"/>
      <c r="V91" s="7">
        <f t="shared" si="41"/>
        <v>0</v>
      </c>
      <c r="W91" s="2"/>
      <c r="X91" s="6">
        <f t="shared" si="42"/>
        <v>-157.97999999999999</v>
      </c>
      <c r="Y91" s="2"/>
      <c r="Z91" s="7">
        <f t="shared" si="43"/>
        <v>0</v>
      </c>
    </row>
    <row r="92" spans="1:26" s="28" customFormat="1" outlineLevel="1" collapsed="1" x14ac:dyDescent="0.3">
      <c r="A92" s="29"/>
      <c r="B92" s="14" t="str">
        <f>CONCATENATE("     ","Donations                                         ")</f>
        <v xml:space="preserve">     Donations                                         </v>
      </c>
      <c r="C92" s="14"/>
      <c r="D92" s="1">
        <f>SUM(OSRRefD22_7x_0)</f>
        <v>0</v>
      </c>
      <c r="E92" s="1"/>
      <c r="F92" s="5">
        <f t="shared" ref="F92:F100" si="44">IF(D$12=0,0,D92/D$12)</f>
        <v>0</v>
      </c>
      <c r="G92" s="1"/>
      <c r="H92" s="1">
        <f>SUM(OSRRefH22_7x_0)</f>
        <v>1250</v>
      </c>
      <c r="I92" s="1"/>
      <c r="J92" s="5">
        <f t="shared" ref="J92:J100" si="45">IF(H$12=0,0,H92/H$12)</f>
        <v>4.0097787275785205E-4</v>
      </c>
      <c r="K92" s="1"/>
      <c r="L92" s="1">
        <f t="shared" ref="L92:L100" si="46">+D92-H92</f>
        <v>-1250</v>
      </c>
      <c r="M92" s="1"/>
      <c r="N92" s="5">
        <f t="shared" ref="N92:N100" si="47">IF(H92=0,0,L92/H92)</f>
        <v>-1</v>
      </c>
      <c r="O92" s="14"/>
      <c r="P92" s="1">
        <f>SUM(OSRRefP22_7x_0)</f>
        <v>0</v>
      </c>
      <c r="Q92" s="1"/>
      <c r="R92" s="5">
        <f t="shared" ref="R92:R100" si="48">IF(P$12=0,0,P92/P$12)</f>
        <v>0</v>
      </c>
      <c r="S92" s="1"/>
      <c r="T92" s="1">
        <f>SUM(OSRRefT22_7x_0)</f>
        <v>2500</v>
      </c>
      <c r="U92" s="1"/>
      <c r="V92" s="5">
        <f t="shared" ref="V92:V100" si="49">IF(T$12=0,0,T92/T$12)</f>
        <v>6.7107518323707876E-4</v>
      </c>
      <c r="W92" s="1"/>
      <c r="X92" s="1">
        <f t="shared" ref="X92:X100" si="50">+P92-T92</f>
        <v>-2500</v>
      </c>
      <c r="Y92" s="1"/>
      <c r="Z92" s="5">
        <f t="shared" ref="Z92:Z100" si="51">IF(T92=0,0,X92/T92)</f>
        <v>-1</v>
      </c>
    </row>
    <row r="93" spans="1:26" s="24" customFormat="1" hidden="1" outlineLevel="2" x14ac:dyDescent="0.3">
      <c r="A93" s="27"/>
      <c r="B93" s="11" t="str">
        <f>CONCATENATE("          ", "6399", " - ", "DONATION-ON CAMPUS")</f>
        <v xml:space="preserve">          6399 - DONATION-ON CAMPUS</v>
      </c>
      <c r="C93" s="11"/>
      <c r="D93" s="6"/>
      <c r="E93" s="2"/>
      <c r="F93" s="7">
        <f t="shared" si="44"/>
        <v>0</v>
      </c>
      <c r="G93" s="2"/>
      <c r="H93" s="6">
        <v>1250</v>
      </c>
      <c r="I93" s="2"/>
      <c r="J93" s="7">
        <f t="shared" si="45"/>
        <v>4.0097787275785205E-4</v>
      </c>
      <c r="K93" s="2"/>
      <c r="L93" s="6">
        <f t="shared" si="46"/>
        <v>-1250</v>
      </c>
      <c r="M93" s="2"/>
      <c r="N93" s="7">
        <f t="shared" si="47"/>
        <v>-1</v>
      </c>
      <c r="O93" s="11"/>
      <c r="P93" s="6"/>
      <c r="Q93" s="2"/>
      <c r="R93" s="7">
        <f t="shared" si="48"/>
        <v>0</v>
      </c>
      <c r="S93" s="2"/>
      <c r="T93" s="6">
        <v>2500</v>
      </c>
      <c r="U93" s="2"/>
      <c r="V93" s="7">
        <f t="shared" si="49"/>
        <v>6.7107518323707876E-4</v>
      </c>
      <c r="W93" s="2"/>
      <c r="X93" s="6">
        <f t="shared" si="50"/>
        <v>-2500</v>
      </c>
      <c r="Y93" s="2"/>
      <c r="Z93" s="7">
        <f t="shared" si="51"/>
        <v>-1</v>
      </c>
    </row>
    <row r="94" spans="1:26" s="28" customFormat="1" outlineLevel="1" collapsed="1" x14ac:dyDescent="0.3">
      <c r="A94" s="29"/>
      <c r="B94" s="14" t="str">
        <f>CONCATENATE("     ","Employees' Appreciation                           ")</f>
        <v xml:space="preserve">     Employees' Appreciation                           </v>
      </c>
      <c r="C94" s="14"/>
      <c r="D94" s="1">
        <f>SUM(OSRRefD22_8x_0)</f>
        <v>400</v>
      </c>
      <c r="E94" s="1"/>
      <c r="F94" s="5">
        <f t="shared" si="44"/>
        <v>2.1549773279684023E-4</v>
      </c>
      <c r="G94" s="1"/>
      <c r="H94" s="1">
        <f>SUM(OSRRefH22_8x_0)</f>
        <v>245</v>
      </c>
      <c r="I94" s="1"/>
      <c r="J94" s="5">
        <f t="shared" si="45"/>
        <v>7.8591663060539004E-5</v>
      </c>
      <c r="K94" s="1"/>
      <c r="L94" s="1">
        <f t="shared" si="46"/>
        <v>155</v>
      </c>
      <c r="M94" s="1"/>
      <c r="N94" s="5">
        <f t="shared" si="47"/>
        <v>0.63265306122448983</v>
      </c>
      <c r="O94" s="14"/>
      <c r="P94" s="1">
        <f>SUM(OSRRefP22_8x_0)</f>
        <v>937.36</v>
      </c>
      <c r="Q94" s="1"/>
      <c r="R94" s="5">
        <f t="shared" si="48"/>
        <v>4.3157083376385607E-4</v>
      </c>
      <c r="S94" s="1"/>
      <c r="T94" s="1">
        <f>SUM(OSRRefT22_8x_0)</f>
        <v>490</v>
      </c>
      <c r="U94" s="1"/>
      <c r="V94" s="5">
        <f t="shared" si="49"/>
        <v>1.3153073591446745E-4</v>
      </c>
      <c r="W94" s="1"/>
      <c r="X94" s="1">
        <f t="shared" si="50"/>
        <v>447.36</v>
      </c>
      <c r="Y94" s="1"/>
      <c r="Z94" s="5">
        <f t="shared" si="51"/>
        <v>0.91297959183673472</v>
      </c>
    </row>
    <row r="95" spans="1:26" s="24" customFormat="1" hidden="1" outlineLevel="2" x14ac:dyDescent="0.3">
      <c r="A95" s="27"/>
      <c r="B95" s="11" t="str">
        <f>CONCATENATE("          ", "6277", " - ", "EMPLOYEE APPRECIATION")</f>
        <v xml:space="preserve">          6277 - EMPLOYEE APPRECIATION</v>
      </c>
      <c r="C95" s="11"/>
      <c r="D95" s="6">
        <v>400</v>
      </c>
      <c r="E95" s="2"/>
      <c r="F95" s="7">
        <f t="shared" si="44"/>
        <v>2.1549773279684023E-4</v>
      </c>
      <c r="G95" s="2"/>
      <c r="H95" s="6">
        <v>245</v>
      </c>
      <c r="I95" s="2"/>
      <c r="J95" s="7">
        <f t="shared" si="45"/>
        <v>7.8591663060539004E-5</v>
      </c>
      <c r="K95" s="2"/>
      <c r="L95" s="6">
        <f t="shared" si="46"/>
        <v>155</v>
      </c>
      <c r="M95" s="2"/>
      <c r="N95" s="7">
        <f t="shared" si="47"/>
        <v>0.63265306122448983</v>
      </c>
      <c r="O95" s="11"/>
      <c r="P95" s="6">
        <v>937.36</v>
      </c>
      <c r="Q95" s="2"/>
      <c r="R95" s="7">
        <f t="shared" si="48"/>
        <v>4.3157083376385607E-4</v>
      </c>
      <c r="S95" s="2"/>
      <c r="T95" s="6">
        <v>490</v>
      </c>
      <c r="U95" s="2"/>
      <c r="V95" s="7">
        <f t="shared" si="49"/>
        <v>1.3153073591446745E-4</v>
      </c>
      <c r="W95" s="2"/>
      <c r="X95" s="6">
        <f t="shared" si="50"/>
        <v>447.36</v>
      </c>
      <c r="Y95" s="2"/>
      <c r="Z95" s="7">
        <f t="shared" si="51"/>
        <v>0.91297959183673472</v>
      </c>
    </row>
    <row r="96" spans="1:26" s="28" customFormat="1" outlineLevel="1" collapsed="1" x14ac:dyDescent="0.3">
      <c r="A96" s="29"/>
      <c r="B96" s="14" t="str">
        <f>CONCATENATE("     ","Equipment Rental                                  ")</f>
        <v xml:space="preserve">     Equipment Rental                                  </v>
      </c>
      <c r="C96" s="14"/>
      <c r="D96" s="1">
        <f>SUM(OSRRefD22_9x_0)</f>
        <v>2303.73</v>
      </c>
      <c r="E96" s="1"/>
      <c r="F96" s="5">
        <f t="shared" si="44"/>
        <v>1.2411214799401618E-3</v>
      </c>
      <c r="G96" s="1"/>
      <c r="H96" s="1">
        <f>SUM(OSRRefH22_9x_0)</f>
        <v>1600</v>
      </c>
      <c r="I96" s="1"/>
      <c r="J96" s="5">
        <f t="shared" si="45"/>
        <v>5.1325167713005065E-4</v>
      </c>
      <c r="K96" s="1"/>
      <c r="L96" s="1">
        <f t="shared" si="46"/>
        <v>703.73</v>
      </c>
      <c r="M96" s="1"/>
      <c r="N96" s="5">
        <f t="shared" si="47"/>
        <v>0.43983125000000001</v>
      </c>
      <c r="O96" s="14"/>
      <c r="P96" s="1">
        <f>SUM(OSRRefP22_9x_0)</f>
        <v>3691.89</v>
      </c>
      <c r="Q96" s="1"/>
      <c r="R96" s="5">
        <f t="shared" si="48"/>
        <v>1.699786683306779E-3</v>
      </c>
      <c r="S96" s="1"/>
      <c r="T96" s="1">
        <f>SUM(OSRRefT22_9x_0)</f>
        <v>3200</v>
      </c>
      <c r="U96" s="1"/>
      <c r="V96" s="5">
        <f t="shared" si="49"/>
        <v>8.5897623454346084E-4</v>
      </c>
      <c r="W96" s="1"/>
      <c r="X96" s="1">
        <f t="shared" si="50"/>
        <v>491.88999999999987</v>
      </c>
      <c r="Y96" s="1"/>
      <c r="Z96" s="5">
        <f t="shared" si="51"/>
        <v>0.15371562499999997</v>
      </c>
    </row>
    <row r="97" spans="1:26" s="24" customFormat="1" hidden="1" outlineLevel="2" x14ac:dyDescent="0.3">
      <c r="A97" s="27"/>
      <c r="B97" s="11" t="str">
        <f>CONCATENATE("          ", "6351", " - ", "EQUIPMENT RENTAL")</f>
        <v xml:space="preserve">          6351 - EQUIPMENT RENTAL</v>
      </c>
      <c r="C97" s="11"/>
      <c r="D97" s="6">
        <v>2303.73</v>
      </c>
      <c r="E97" s="2"/>
      <c r="F97" s="7">
        <f t="shared" si="44"/>
        <v>1.2411214799401618E-3</v>
      </c>
      <c r="G97" s="2"/>
      <c r="H97" s="6">
        <v>1600</v>
      </c>
      <c r="I97" s="2"/>
      <c r="J97" s="7">
        <f t="shared" si="45"/>
        <v>5.1325167713005065E-4</v>
      </c>
      <c r="K97" s="2"/>
      <c r="L97" s="6">
        <f t="shared" si="46"/>
        <v>703.73</v>
      </c>
      <c r="M97" s="2"/>
      <c r="N97" s="7">
        <f t="shared" si="47"/>
        <v>0.43983125000000001</v>
      </c>
      <c r="O97" s="11"/>
      <c r="P97" s="6">
        <v>3691.89</v>
      </c>
      <c r="Q97" s="2"/>
      <c r="R97" s="7">
        <f t="shared" si="48"/>
        <v>1.699786683306779E-3</v>
      </c>
      <c r="S97" s="2"/>
      <c r="T97" s="6">
        <v>3200</v>
      </c>
      <c r="U97" s="2"/>
      <c r="V97" s="7">
        <f t="shared" si="49"/>
        <v>8.5897623454346084E-4</v>
      </c>
      <c r="W97" s="2"/>
      <c r="X97" s="6">
        <f t="shared" si="50"/>
        <v>491.88999999999987</v>
      </c>
      <c r="Y97" s="2"/>
      <c r="Z97" s="7">
        <f t="shared" si="51"/>
        <v>0.15371562499999997</v>
      </c>
    </row>
    <row r="98" spans="1:26" s="28" customFormat="1" outlineLevel="1" collapsed="1" x14ac:dyDescent="0.3">
      <c r="A98" s="29"/>
      <c r="B98" s="14" t="str">
        <f>CONCATENATE("     ","Freight out/Postage                               ")</f>
        <v xml:space="preserve">     Freight out/Postage                               </v>
      </c>
      <c r="C98" s="14"/>
      <c r="D98" s="1">
        <f>SUM(OSRRefD22_10x_0)</f>
        <v>-19372.54</v>
      </c>
      <c r="E98" s="1"/>
      <c r="F98" s="5">
        <f t="shared" si="44"/>
        <v>-1.0436846121290248E-2</v>
      </c>
      <c r="G98" s="1"/>
      <c r="H98" s="1">
        <f>SUM(OSRRefH22_10x_0)</f>
        <v>-42535</v>
      </c>
      <c r="I98" s="1"/>
      <c r="J98" s="5">
        <f t="shared" si="45"/>
        <v>-1.3644475054204189E-2</v>
      </c>
      <c r="K98" s="1"/>
      <c r="L98" s="1">
        <f t="shared" si="46"/>
        <v>23162.46</v>
      </c>
      <c r="M98" s="1"/>
      <c r="N98" s="5">
        <f t="shared" si="47"/>
        <v>-0.54455060538380151</v>
      </c>
      <c r="O98" s="14"/>
      <c r="P98" s="1">
        <f>SUM(OSRRefP22_10x_0)</f>
        <v>-15689.740000000002</v>
      </c>
      <c r="Q98" s="1"/>
      <c r="R98" s="5">
        <f t="shared" si="48"/>
        <v>-7.2237285283542323E-3</v>
      </c>
      <c r="S98" s="1"/>
      <c r="T98" s="1">
        <f>SUM(OSRRefT22_10x_0)</f>
        <v>-37070</v>
      </c>
      <c r="U98" s="1"/>
      <c r="V98" s="5">
        <f t="shared" si="49"/>
        <v>-9.9507028170394037E-3</v>
      </c>
      <c r="W98" s="1"/>
      <c r="X98" s="1">
        <f t="shared" si="50"/>
        <v>21380.26</v>
      </c>
      <c r="Y98" s="1"/>
      <c r="Z98" s="5">
        <f t="shared" si="51"/>
        <v>-0.57675370919881297</v>
      </c>
    </row>
    <row r="99" spans="1:26" s="24" customFormat="1" hidden="1" outlineLevel="2" x14ac:dyDescent="0.3">
      <c r="A99" s="27"/>
      <c r="B99" s="11" t="str">
        <f>CONCATENATE("          ", "6305", " - ", "FREIGHT OUT")</f>
        <v xml:space="preserve">          6305 - FREIGHT OUT</v>
      </c>
      <c r="C99" s="11"/>
      <c r="D99" s="6">
        <v>4399.6499999999996</v>
      </c>
      <c r="E99" s="2"/>
      <c r="F99" s="7">
        <f t="shared" si="44"/>
        <v>2.370286500249045E-3</v>
      </c>
      <c r="G99" s="2"/>
      <c r="H99" s="6">
        <v>7365</v>
      </c>
      <c r="I99" s="2"/>
      <c r="J99" s="7">
        <f t="shared" si="45"/>
        <v>2.3625616262892639E-3</v>
      </c>
      <c r="K99" s="2"/>
      <c r="L99" s="6">
        <f t="shared" si="46"/>
        <v>-2965.3500000000004</v>
      </c>
      <c r="M99" s="2"/>
      <c r="N99" s="7">
        <f t="shared" si="47"/>
        <v>-0.40262729124236257</v>
      </c>
      <c r="O99" s="11"/>
      <c r="P99" s="6">
        <v>15382.34</v>
      </c>
      <c r="Q99" s="2"/>
      <c r="R99" s="7">
        <f t="shared" si="48"/>
        <v>7.0821981939053445E-3</v>
      </c>
      <c r="S99" s="2"/>
      <c r="T99" s="6">
        <v>16730</v>
      </c>
      <c r="U99" s="2"/>
      <c r="V99" s="7">
        <f t="shared" si="49"/>
        <v>4.490835126222531E-3</v>
      </c>
      <c r="W99" s="2"/>
      <c r="X99" s="6">
        <f t="shared" si="50"/>
        <v>-1347.6599999999999</v>
      </c>
      <c r="Y99" s="2"/>
      <c r="Z99" s="7">
        <f t="shared" si="51"/>
        <v>-8.0553496712492526E-2</v>
      </c>
    </row>
    <row r="100" spans="1:26" s="24" customFormat="1" hidden="1" outlineLevel="2" x14ac:dyDescent="0.3">
      <c r="A100" s="27"/>
      <c r="B100" s="11" t="str">
        <f>CONCATENATE("          ", "6307", " - ", "POSTAGE")</f>
        <v xml:space="preserve">          6307 - POSTAGE</v>
      </c>
      <c r="C100" s="11"/>
      <c r="D100" s="6">
        <v>-23772.19</v>
      </c>
      <c r="E100" s="2"/>
      <c r="F100" s="7">
        <f t="shared" si="44"/>
        <v>-1.2807132621539293E-2</v>
      </c>
      <c r="G100" s="2"/>
      <c r="H100" s="6">
        <v>-49900</v>
      </c>
      <c r="I100" s="2"/>
      <c r="J100" s="7">
        <f t="shared" si="45"/>
        <v>-1.6007036680493452E-2</v>
      </c>
      <c r="K100" s="2"/>
      <c r="L100" s="6">
        <f t="shared" si="46"/>
        <v>26127.81</v>
      </c>
      <c r="M100" s="2"/>
      <c r="N100" s="7">
        <f t="shared" si="47"/>
        <v>-0.52360340681362727</v>
      </c>
      <c r="O100" s="11"/>
      <c r="P100" s="6">
        <v>-31072.080000000002</v>
      </c>
      <c r="Q100" s="2"/>
      <c r="R100" s="7">
        <f t="shared" si="48"/>
        <v>-1.4305926722259577E-2</v>
      </c>
      <c r="S100" s="2"/>
      <c r="T100" s="6">
        <v>-53800</v>
      </c>
      <c r="U100" s="2"/>
      <c r="V100" s="7">
        <f t="shared" si="49"/>
        <v>-1.4441537943261935E-2</v>
      </c>
      <c r="W100" s="2"/>
      <c r="X100" s="6">
        <f t="shared" si="50"/>
        <v>22727.919999999998</v>
      </c>
      <c r="Y100" s="2"/>
      <c r="Z100" s="7">
        <f t="shared" si="51"/>
        <v>-0.4224520446096654</v>
      </c>
    </row>
    <row r="101" spans="1:26" s="28" customFormat="1" outlineLevel="1" collapsed="1" x14ac:dyDescent="0.3">
      <c r="A101" s="29"/>
      <c r="B101" s="14" t="str">
        <f>CONCATENATE("     ","General                                           ")</f>
        <v xml:space="preserve">     General                                           </v>
      </c>
      <c r="C101" s="14"/>
      <c r="D101" s="1">
        <f>SUM(OSRRefD22_11x_0)</f>
        <v>997.29</v>
      </c>
      <c r="E101" s="1"/>
      <c r="F101" s="5">
        <f t="shared" ref="F101:F103" si="52">IF(D$12=0,0,D101/D$12)</f>
        <v>5.3728433485240195E-4</v>
      </c>
      <c r="G101" s="1"/>
      <c r="H101" s="1">
        <f>SUM(OSRRefH22_11x_0)</f>
        <v>355</v>
      </c>
      <c r="I101" s="1"/>
      <c r="J101" s="5">
        <f t="shared" ref="J101:J103" si="53">IF(H$12=0,0,H101/H$12)</f>
        <v>1.1387771586322998E-4</v>
      </c>
      <c r="K101" s="1"/>
      <c r="L101" s="1">
        <f t="shared" ref="L101:L103" si="54">+D101-H101</f>
        <v>642.29</v>
      </c>
      <c r="M101" s="1"/>
      <c r="N101" s="5">
        <f t="shared" ref="N101:N103" si="55">IF(H101=0,0,L101/H101)</f>
        <v>1.8092676056338026</v>
      </c>
      <c r="O101" s="14"/>
      <c r="P101" s="1">
        <f>SUM(OSRRefP22_11x_0)</f>
        <v>1775.29</v>
      </c>
      <c r="Q101" s="1"/>
      <c r="R101" s="5">
        <f t="shared" ref="R101:R103" si="56">IF(P$12=0,0,P101/P$12)</f>
        <v>8.1736300404608258E-4</v>
      </c>
      <c r="S101" s="1"/>
      <c r="T101" s="1">
        <f>SUM(OSRRefT22_11x_0)</f>
        <v>710</v>
      </c>
      <c r="U101" s="1"/>
      <c r="V101" s="5">
        <f t="shared" ref="V101:V103" si="57">IF(T$12=0,0,T101/T$12)</f>
        <v>1.9058535203933036E-4</v>
      </c>
      <c r="W101" s="1"/>
      <c r="X101" s="1">
        <f t="shared" ref="X101:X103" si="58">+P101-T101</f>
        <v>1065.29</v>
      </c>
      <c r="Y101" s="1"/>
      <c r="Z101" s="5">
        <f t="shared" ref="Z101:Z103" si="59">IF(T101=0,0,X101/T101)</f>
        <v>1.5004084507042252</v>
      </c>
    </row>
    <row r="102" spans="1:26" s="24" customFormat="1" hidden="1" outlineLevel="2" x14ac:dyDescent="0.3">
      <c r="A102" s="27"/>
      <c r="B102" s="11" t="str">
        <f>CONCATENATE("          ", "6276", " - ", "PROPERTY TAX")</f>
        <v xml:space="preserve">          6276 - PROPERTY TAX</v>
      </c>
      <c r="C102" s="11"/>
      <c r="D102" s="6"/>
      <c r="E102" s="2"/>
      <c r="F102" s="7">
        <f t="shared" si="52"/>
        <v>0</v>
      </c>
      <c r="G102" s="2"/>
      <c r="H102" s="6"/>
      <c r="I102" s="2"/>
      <c r="J102" s="7">
        <f t="shared" si="53"/>
        <v>0</v>
      </c>
      <c r="K102" s="2"/>
      <c r="L102" s="6">
        <f t="shared" si="54"/>
        <v>0</v>
      </c>
      <c r="M102" s="2"/>
      <c r="N102" s="7">
        <f t="shared" si="55"/>
        <v>0</v>
      </c>
      <c r="O102" s="11"/>
      <c r="P102" s="6"/>
      <c r="Q102" s="2"/>
      <c r="R102" s="7">
        <f t="shared" si="56"/>
        <v>0</v>
      </c>
      <c r="S102" s="2"/>
      <c r="T102" s="6">
        <v>125</v>
      </c>
      <c r="U102" s="2"/>
      <c r="V102" s="7">
        <f t="shared" si="57"/>
        <v>3.3553759161853941E-5</v>
      </c>
      <c r="W102" s="2"/>
      <c r="X102" s="6">
        <f t="shared" si="58"/>
        <v>-125</v>
      </c>
      <c r="Y102" s="2"/>
      <c r="Z102" s="7">
        <f t="shared" si="59"/>
        <v>-1</v>
      </c>
    </row>
    <row r="103" spans="1:26" s="24" customFormat="1" hidden="1" outlineLevel="2" x14ac:dyDescent="0.3">
      <c r="A103" s="27"/>
      <c r="B103" s="11" t="str">
        <f>CONCATENATE("          ", "6279", " - ", "GENERAL EXPENSE")</f>
        <v xml:space="preserve">          6279 - GENERAL EXPENSE</v>
      </c>
      <c r="C103" s="11"/>
      <c r="D103" s="6">
        <v>997.29</v>
      </c>
      <c r="E103" s="2"/>
      <c r="F103" s="7">
        <f t="shared" si="52"/>
        <v>5.3728433485240195E-4</v>
      </c>
      <c r="G103" s="2"/>
      <c r="H103" s="6">
        <v>355</v>
      </c>
      <c r="I103" s="2"/>
      <c r="J103" s="7">
        <f t="shared" si="53"/>
        <v>1.1387771586322998E-4</v>
      </c>
      <c r="K103" s="2"/>
      <c r="L103" s="6">
        <f t="shared" si="54"/>
        <v>642.29</v>
      </c>
      <c r="M103" s="2"/>
      <c r="N103" s="7">
        <f t="shared" si="55"/>
        <v>1.8092676056338026</v>
      </c>
      <c r="O103" s="11"/>
      <c r="P103" s="6">
        <v>1775.29</v>
      </c>
      <c r="Q103" s="2"/>
      <c r="R103" s="7">
        <f t="shared" si="56"/>
        <v>8.1736300404608258E-4</v>
      </c>
      <c r="S103" s="2"/>
      <c r="T103" s="6">
        <v>585</v>
      </c>
      <c r="U103" s="2"/>
      <c r="V103" s="7">
        <f t="shared" si="57"/>
        <v>1.5703159287747644E-4</v>
      </c>
      <c r="W103" s="2"/>
      <c r="X103" s="6">
        <f t="shared" si="58"/>
        <v>1190.29</v>
      </c>
      <c r="Y103" s="2"/>
      <c r="Z103" s="7">
        <f t="shared" si="59"/>
        <v>2.0346837606837607</v>
      </c>
    </row>
    <row r="104" spans="1:26" s="28" customFormat="1" outlineLevel="1" collapsed="1" x14ac:dyDescent="0.3">
      <c r="A104" s="29"/>
      <c r="B104" s="14" t="str">
        <f>CONCATENATE("     ","Insurance                                         ")</f>
        <v xml:space="preserve">     Insurance                                         </v>
      </c>
      <c r="C104" s="14"/>
      <c r="D104" s="1">
        <f>SUM(OSRRefD22_12x_0)</f>
        <v>5494.57</v>
      </c>
      <c r="E104" s="1"/>
      <c r="F104" s="5">
        <f t="shared" ref="F104:F116" si="60">IF(D$12=0,0,D104/D$12)</f>
        <v>2.9601684442338359E-3</v>
      </c>
      <c r="G104" s="1"/>
      <c r="H104" s="1">
        <f>SUM(OSRRefH22_12x_0)</f>
        <v>5375</v>
      </c>
      <c r="I104" s="1"/>
      <c r="J104" s="5">
        <f t="shared" ref="J104:J116" si="61">IF(H$12=0,0,H104/H$12)</f>
        <v>1.7242048528587637E-3</v>
      </c>
      <c r="K104" s="1"/>
      <c r="L104" s="1">
        <f t="shared" ref="L104:L116" si="62">+D104-H104</f>
        <v>119.56999999999971</v>
      </c>
      <c r="M104" s="1"/>
      <c r="N104" s="5">
        <f t="shared" ref="N104:N116" si="63">IF(H104=0,0,L104/H104)</f>
        <v>2.2245581395348782E-2</v>
      </c>
      <c r="O104" s="14"/>
      <c r="P104" s="1">
        <f>SUM(OSRRefP22_12x_0)</f>
        <v>10989.14</v>
      </c>
      <c r="Q104" s="1"/>
      <c r="R104" s="5">
        <f t="shared" ref="R104:R116" si="64">IF(P$12=0,0,P104/P$12)</f>
        <v>5.0595206880470053E-3</v>
      </c>
      <c r="S104" s="1"/>
      <c r="T104" s="1">
        <f>SUM(OSRRefT22_12x_0)</f>
        <v>10750</v>
      </c>
      <c r="U104" s="1"/>
      <c r="V104" s="5">
        <f t="shared" ref="V104:V116" si="65">IF(T$12=0,0,T104/T$12)</f>
        <v>2.8856232879194386E-3</v>
      </c>
      <c r="W104" s="1"/>
      <c r="X104" s="1">
        <f t="shared" ref="X104:X116" si="66">+P104-T104</f>
        <v>239.13999999999942</v>
      </c>
      <c r="Y104" s="1"/>
      <c r="Z104" s="5">
        <f t="shared" ref="Z104:Z116" si="67">IF(T104=0,0,X104/T104)</f>
        <v>2.2245581395348782E-2</v>
      </c>
    </row>
    <row r="105" spans="1:26" s="24" customFormat="1" hidden="1" outlineLevel="2" x14ac:dyDescent="0.3">
      <c r="A105" s="27"/>
      <c r="B105" s="11" t="str">
        <f>CONCATENATE("          ", "6314", " - ", "LIABILITY INSURANCE")</f>
        <v xml:space="preserve">          6314 - LIABILITY INSURANCE</v>
      </c>
      <c r="C105" s="11"/>
      <c r="D105" s="6">
        <v>5494.57</v>
      </c>
      <c r="E105" s="2"/>
      <c r="F105" s="7">
        <f t="shared" si="60"/>
        <v>2.9601684442338359E-3</v>
      </c>
      <c r="G105" s="2"/>
      <c r="H105" s="6">
        <v>5375</v>
      </c>
      <c r="I105" s="2"/>
      <c r="J105" s="7">
        <f t="shared" si="61"/>
        <v>1.7242048528587637E-3</v>
      </c>
      <c r="K105" s="2"/>
      <c r="L105" s="6">
        <f t="shared" si="62"/>
        <v>119.56999999999971</v>
      </c>
      <c r="M105" s="2"/>
      <c r="N105" s="7">
        <f t="shared" si="63"/>
        <v>2.2245581395348782E-2</v>
      </c>
      <c r="O105" s="11"/>
      <c r="P105" s="6">
        <v>10989.14</v>
      </c>
      <c r="Q105" s="2"/>
      <c r="R105" s="7">
        <f t="shared" si="64"/>
        <v>5.0595206880470053E-3</v>
      </c>
      <c r="S105" s="2"/>
      <c r="T105" s="6">
        <v>10750</v>
      </c>
      <c r="U105" s="2"/>
      <c r="V105" s="7">
        <f t="shared" si="65"/>
        <v>2.8856232879194386E-3</v>
      </c>
      <c r="W105" s="2"/>
      <c r="X105" s="6">
        <f t="shared" si="66"/>
        <v>239.13999999999942</v>
      </c>
      <c r="Y105" s="2"/>
      <c r="Z105" s="7">
        <f t="shared" si="67"/>
        <v>2.2245581395348782E-2</v>
      </c>
    </row>
    <row r="106" spans="1:26" s="28" customFormat="1" outlineLevel="1" collapsed="1" x14ac:dyDescent="0.3">
      <c r="A106" s="29"/>
      <c r="B106" s="14" t="str">
        <f>CONCATENATE("     ","Inventory Adjustment                              ")</f>
        <v xml:space="preserve">     Inventory Adjustment                              </v>
      </c>
      <c r="C106" s="14"/>
      <c r="D106" s="1">
        <f>SUM(OSRRefD22_13x_0)</f>
        <v>7120</v>
      </c>
      <c r="E106" s="1"/>
      <c r="F106" s="5">
        <f t="shared" si="60"/>
        <v>3.835859643783756E-3</v>
      </c>
      <c r="G106" s="1"/>
      <c r="H106" s="1">
        <f>SUM(OSRRefH22_13x_0)</f>
        <v>7120</v>
      </c>
      <c r="I106" s="1"/>
      <c r="J106" s="5">
        <f t="shared" si="61"/>
        <v>2.2839699632287254E-3</v>
      </c>
      <c r="K106" s="1"/>
      <c r="L106" s="1">
        <f t="shared" si="62"/>
        <v>0</v>
      </c>
      <c r="M106" s="1"/>
      <c r="N106" s="5">
        <f t="shared" si="63"/>
        <v>0</v>
      </c>
      <c r="O106" s="14"/>
      <c r="P106" s="1">
        <f>SUM(OSRRefP22_13x_0)</f>
        <v>13690</v>
      </c>
      <c r="Q106" s="1"/>
      <c r="R106" s="5">
        <f t="shared" si="64"/>
        <v>6.3030262804335468E-3</v>
      </c>
      <c r="S106" s="1"/>
      <c r="T106" s="1">
        <f>SUM(OSRRefT22_13x_0)</f>
        <v>13690</v>
      </c>
      <c r="U106" s="1"/>
      <c r="V106" s="5">
        <f t="shared" si="65"/>
        <v>3.6748077034062434E-3</v>
      </c>
      <c r="W106" s="1"/>
      <c r="X106" s="1">
        <f t="shared" si="66"/>
        <v>0</v>
      </c>
      <c r="Y106" s="1"/>
      <c r="Z106" s="5">
        <f t="shared" si="67"/>
        <v>0</v>
      </c>
    </row>
    <row r="107" spans="1:26" s="24" customFormat="1" hidden="1" outlineLevel="2" x14ac:dyDescent="0.3">
      <c r="A107" s="27"/>
      <c r="B107" s="11" t="str">
        <f>CONCATENATE("          ", "6408", " - ", "INVENTORY ADJUSTMENT")</f>
        <v xml:space="preserve">          6408 - INVENTORY ADJUSTMENT</v>
      </c>
      <c r="C107" s="11"/>
      <c r="D107" s="6">
        <v>7120</v>
      </c>
      <c r="E107" s="2"/>
      <c r="F107" s="7">
        <f t="shared" si="60"/>
        <v>3.835859643783756E-3</v>
      </c>
      <c r="G107" s="2"/>
      <c r="H107" s="6">
        <v>7120</v>
      </c>
      <c r="I107" s="2"/>
      <c r="J107" s="7">
        <f t="shared" si="61"/>
        <v>2.2839699632287254E-3</v>
      </c>
      <c r="K107" s="2"/>
      <c r="L107" s="6">
        <f t="shared" si="62"/>
        <v>0</v>
      </c>
      <c r="M107" s="2"/>
      <c r="N107" s="7">
        <f t="shared" si="63"/>
        <v>0</v>
      </c>
      <c r="O107" s="11"/>
      <c r="P107" s="6">
        <v>13690</v>
      </c>
      <c r="Q107" s="2"/>
      <c r="R107" s="7">
        <f t="shared" si="64"/>
        <v>6.3030262804335468E-3</v>
      </c>
      <c r="S107" s="2"/>
      <c r="T107" s="6">
        <v>13690</v>
      </c>
      <c r="U107" s="2"/>
      <c r="V107" s="7">
        <f t="shared" si="65"/>
        <v>3.6748077034062434E-3</v>
      </c>
      <c r="W107" s="2"/>
      <c r="X107" s="6">
        <f t="shared" si="66"/>
        <v>0</v>
      </c>
      <c r="Y107" s="2"/>
      <c r="Z107" s="7">
        <f t="shared" si="67"/>
        <v>0</v>
      </c>
    </row>
    <row r="108" spans="1:26" s="28" customFormat="1" outlineLevel="1" collapsed="1" x14ac:dyDescent="0.3">
      <c r="A108" s="29"/>
      <c r="B108" s="14" t="str">
        <f>CONCATENATE("     ","Professional Services                             ")</f>
        <v xml:space="preserve">     Professional Services                             </v>
      </c>
      <c r="C108" s="14"/>
      <c r="D108" s="1">
        <f>SUM(OSRRefD22_14x_0)</f>
        <v>0</v>
      </c>
      <c r="E108" s="1"/>
      <c r="F108" s="5">
        <f t="shared" si="60"/>
        <v>0</v>
      </c>
      <c r="G108" s="1"/>
      <c r="H108" s="1">
        <f>SUM(OSRRefH22_14x_0)</f>
        <v>0</v>
      </c>
      <c r="I108" s="1"/>
      <c r="J108" s="5">
        <f t="shared" si="61"/>
        <v>0</v>
      </c>
      <c r="K108" s="1"/>
      <c r="L108" s="1">
        <f t="shared" si="62"/>
        <v>0</v>
      </c>
      <c r="M108" s="1"/>
      <c r="N108" s="5">
        <f t="shared" si="63"/>
        <v>0</v>
      </c>
      <c r="O108" s="14"/>
      <c r="P108" s="1">
        <f>SUM(OSRRefP22_14x_0)</f>
        <v>0</v>
      </c>
      <c r="Q108" s="1"/>
      <c r="R108" s="5">
        <f t="shared" si="64"/>
        <v>0</v>
      </c>
      <c r="S108" s="1"/>
      <c r="T108" s="1">
        <f>SUM(OSRRefT22_14x_0)</f>
        <v>1000</v>
      </c>
      <c r="U108" s="1"/>
      <c r="V108" s="5">
        <f t="shared" si="65"/>
        <v>2.6843007329483152E-4</v>
      </c>
      <c r="W108" s="1"/>
      <c r="X108" s="1">
        <f t="shared" si="66"/>
        <v>-1000</v>
      </c>
      <c r="Y108" s="1"/>
      <c r="Z108" s="5">
        <f t="shared" si="67"/>
        <v>-1</v>
      </c>
    </row>
    <row r="109" spans="1:26" s="24" customFormat="1" hidden="1" outlineLevel="2" x14ac:dyDescent="0.3">
      <c r="A109" s="27"/>
      <c r="B109" s="11" t="str">
        <f>CONCATENATE("          ", "6336", " - ", "PROFESSIONAL SERVICES")</f>
        <v xml:space="preserve">          6336 - PROFESSIONAL SERVICES</v>
      </c>
      <c r="C109" s="11"/>
      <c r="D109" s="6"/>
      <c r="E109" s="2"/>
      <c r="F109" s="7">
        <f t="shared" si="60"/>
        <v>0</v>
      </c>
      <c r="G109" s="2"/>
      <c r="H109" s="6">
        <v>0</v>
      </c>
      <c r="I109" s="2"/>
      <c r="J109" s="7">
        <f t="shared" si="61"/>
        <v>0</v>
      </c>
      <c r="K109" s="2"/>
      <c r="L109" s="6">
        <f t="shared" si="62"/>
        <v>0</v>
      </c>
      <c r="M109" s="2"/>
      <c r="N109" s="7">
        <f t="shared" si="63"/>
        <v>0</v>
      </c>
      <c r="O109" s="11"/>
      <c r="P109" s="6"/>
      <c r="Q109" s="2"/>
      <c r="R109" s="7">
        <f t="shared" si="64"/>
        <v>0</v>
      </c>
      <c r="S109" s="2"/>
      <c r="T109" s="6">
        <v>1000</v>
      </c>
      <c r="U109" s="2"/>
      <c r="V109" s="7">
        <f t="shared" si="65"/>
        <v>2.6843007329483152E-4</v>
      </c>
      <c r="W109" s="2"/>
      <c r="X109" s="6">
        <f t="shared" si="66"/>
        <v>-1000</v>
      </c>
      <c r="Y109" s="2"/>
      <c r="Z109" s="7">
        <f t="shared" si="67"/>
        <v>-1</v>
      </c>
    </row>
    <row r="110" spans="1:26" s="28" customFormat="1" outlineLevel="1" collapsed="1" x14ac:dyDescent="0.3">
      <c r="A110" s="29"/>
      <c r="B110" s="14" t="str">
        <f>CONCATENATE("     ","Rent                                              ")</f>
        <v xml:space="preserve">     Rent                                              </v>
      </c>
      <c r="C110" s="14"/>
      <c r="D110" s="1">
        <f>SUM(OSRRefD22_15x_0)</f>
        <v>6100</v>
      </c>
      <c r="E110" s="1"/>
      <c r="F110" s="5">
        <f t="shared" si="60"/>
        <v>3.2863404251518135E-3</v>
      </c>
      <c r="G110" s="1"/>
      <c r="H110" s="1">
        <f>SUM(OSRRefH22_15x_0)</f>
        <v>6100</v>
      </c>
      <c r="I110" s="1"/>
      <c r="J110" s="5">
        <f t="shared" si="61"/>
        <v>1.9567720190583177E-3</v>
      </c>
      <c r="K110" s="1"/>
      <c r="L110" s="1">
        <f t="shared" si="62"/>
        <v>0</v>
      </c>
      <c r="M110" s="1"/>
      <c r="N110" s="5">
        <f t="shared" si="63"/>
        <v>0</v>
      </c>
      <c r="O110" s="14"/>
      <c r="P110" s="1">
        <f>SUM(OSRRefP22_15x_0)</f>
        <v>12200</v>
      </c>
      <c r="Q110" s="1"/>
      <c r="R110" s="5">
        <f t="shared" si="64"/>
        <v>5.617013924126316E-3</v>
      </c>
      <c r="S110" s="1"/>
      <c r="T110" s="1">
        <f>SUM(OSRRefT22_15x_0)</f>
        <v>12200</v>
      </c>
      <c r="U110" s="1"/>
      <c r="V110" s="5">
        <f t="shared" si="65"/>
        <v>3.2748468941969444E-3</v>
      </c>
      <c r="W110" s="1"/>
      <c r="X110" s="1">
        <f t="shared" si="66"/>
        <v>0</v>
      </c>
      <c r="Y110" s="1"/>
      <c r="Z110" s="5">
        <f t="shared" si="67"/>
        <v>0</v>
      </c>
    </row>
    <row r="111" spans="1:26" s="24" customFormat="1" hidden="1" outlineLevel="2" x14ac:dyDescent="0.3">
      <c r="A111" s="27"/>
      <c r="B111" s="11" t="str">
        <f>CONCATENATE("          ", "6273", " - ", "RENT")</f>
        <v xml:space="preserve">          6273 - RENT</v>
      </c>
      <c r="C111" s="11"/>
      <c r="D111" s="6">
        <v>6100</v>
      </c>
      <c r="E111" s="2"/>
      <c r="F111" s="7">
        <f t="shared" si="60"/>
        <v>3.2863404251518135E-3</v>
      </c>
      <c r="G111" s="2"/>
      <c r="H111" s="6">
        <v>6100</v>
      </c>
      <c r="I111" s="2"/>
      <c r="J111" s="7">
        <f t="shared" si="61"/>
        <v>1.9567720190583177E-3</v>
      </c>
      <c r="K111" s="2"/>
      <c r="L111" s="6">
        <f t="shared" si="62"/>
        <v>0</v>
      </c>
      <c r="M111" s="2"/>
      <c r="N111" s="7">
        <f t="shared" si="63"/>
        <v>0</v>
      </c>
      <c r="O111" s="11"/>
      <c r="P111" s="6">
        <v>12200</v>
      </c>
      <c r="Q111" s="2"/>
      <c r="R111" s="7">
        <f t="shared" si="64"/>
        <v>5.617013924126316E-3</v>
      </c>
      <c r="S111" s="2"/>
      <c r="T111" s="6">
        <v>12200</v>
      </c>
      <c r="U111" s="2"/>
      <c r="V111" s="7">
        <f t="shared" si="65"/>
        <v>3.2748468941969444E-3</v>
      </c>
      <c r="W111" s="2"/>
      <c r="X111" s="6">
        <f t="shared" si="66"/>
        <v>0</v>
      </c>
      <c r="Y111" s="2"/>
      <c r="Z111" s="7">
        <f t="shared" si="67"/>
        <v>0</v>
      </c>
    </row>
    <row r="112" spans="1:26" s="28" customFormat="1" outlineLevel="1" collapsed="1" x14ac:dyDescent="0.3">
      <c r="A112" s="29"/>
      <c r="B112" s="14" t="str">
        <f>CONCATENATE("     ","Repair and Maintenance                            ")</f>
        <v xml:space="preserve">     Repair and Maintenance                            </v>
      </c>
      <c r="C112" s="14"/>
      <c r="D112" s="1">
        <f>SUM(OSRRefD22_16x_0)</f>
        <v>8064.33</v>
      </c>
      <c r="E112" s="1"/>
      <c r="F112" s="5">
        <f t="shared" si="60"/>
        <v>4.3446120788138568E-3</v>
      </c>
      <c r="G112" s="1"/>
      <c r="H112" s="1">
        <f>SUM(OSRRefH22_16x_0)</f>
        <v>9145</v>
      </c>
      <c r="I112" s="1"/>
      <c r="J112" s="5">
        <f t="shared" si="61"/>
        <v>2.9335541170964455E-3</v>
      </c>
      <c r="K112" s="1"/>
      <c r="L112" s="1">
        <f t="shared" si="62"/>
        <v>-1080.67</v>
      </c>
      <c r="M112" s="1"/>
      <c r="N112" s="5">
        <f t="shared" si="63"/>
        <v>-0.11817058501913615</v>
      </c>
      <c r="O112" s="14"/>
      <c r="P112" s="1">
        <f>SUM(OSRRefP22_16x_0)</f>
        <v>72827.06</v>
      </c>
      <c r="Q112" s="1"/>
      <c r="R112" s="5">
        <f t="shared" si="64"/>
        <v>3.3530377874851039E-2</v>
      </c>
      <c r="S112" s="1"/>
      <c r="T112" s="1">
        <f>SUM(OSRRefT22_16x_0)</f>
        <v>55910</v>
      </c>
      <c r="U112" s="1"/>
      <c r="V112" s="5">
        <f t="shared" si="65"/>
        <v>1.500792539791403E-2</v>
      </c>
      <c r="W112" s="1"/>
      <c r="X112" s="1">
        <f t="shared" si="66"/>
        <v>16917.059999999998</v>
      </c>
      <c r="Y112" s="1"/>
      <c r="Z112" s="5">
        <f t="shared" si="67"/>
        <v>0.30257664103022713</v>
      </c>
    </row>
    <row r="113" spans="1:26" s="24" customFormat="1" hidden="1" outlineLevel="2" x14ac:dyDescent="0.3">
      <c r="A113" s="27"/>
      <c r="B113" s="11" t="str">
        <f>CONCATENATE("          ", "6371", " - ", "COMPUTER SOFTWARE MAINTENANCE")</f>
        <v xml:space="preserve">          6371 - COMPUTER SOFTWARE MAINTENANCE</v>
      </c>
      <c r="C113" s="11"/>
      <c r="D113" s="6">
        <v>0</v>
      </c>
      <c r="E113" s="2"/>
      <c r="F113" s="7">
        <f t="shared" si="60"/>
        <v>0</v>
      </c>
      <c r="G113" s="2"/>
      <c r="H113" s="6">
        <v>1000</v>
      </c>
      <c r="I113" s="2"/>
      <c r="J113" s="7">
        <f t="shared" si="61"/>
        <v>3.2078229820628164E-4</v>
      </c>
      <c r="K113" s="2"/>
      <c r="L113" s="6">
        <f t="shared" si="62"/>
        <v>-1000</v>
      </c>
      <c r="M113" s="2"/>
      <c r="N113" s="7">
        <f t="shared" si="63"/>
        <v>-1</v>
      </c>
      <c r="O113" s="11"/>
      <c r="P113" s="6">
        <v>59623.5</v>
      </c>
      <c r="Q113" s="2"/>
      <c r="R113" s="7">
        <f t="shared" si="64"/>
        <v>2.7451313910257822E-2</v>
      </c>
      <c r="S113" s="2"/>
      <c r="T113" s="6">
        <v>41000</v>
      </c>
      <c r="U113" s="2"/>
      <c r="V113" s="7">
        <f t="shared" si="65"/>
        <v>1.1005633005088092E-2</v>
      </c>
      <c r="W113" s="2"/>
      <c r="X113" s="6">
        <f t="shared" si="66"/>
        <v>18623.5</v>
      </c>
      <c r="Y113" s="2"/>
      <c r="Z113" s="7">
        <f t="shared" si="67"/>
        <v>0.45423170731707319</v>
      </c>
    </row>
    <row r="114" spans="1:26" s="24" customFormat="1" hidden="1" outlineLevel="2" x14ac:dyDescent="0.3">
      <c r="A114" s="27"/>
      <c r="B114" s="11" t="str">
        <f>CONCATENATE("          ", "6372", " - ", "COMPUTER HARDWARE MAINTENANCE")</f>
        <v xml:space="preserve">          6372 - COMPUTER HARDWARE MAINTENANCE</v>
      </c>
      <c r="C114" s="11"/>
      <c r="D114" s="6"/>
      <c r="E114" s="2"/>
      <c r="F114" s="7">
        <f t="shared" si="60"/>
        <v>0</v>
      </c>
      <c r="G114" s="2"/>
      <c r="H114" s="6">
        <v>3750</v>
      </c>
      <c r="I114" s="2"/>
      <c r="J114" s="7">
        <f t="shared" si="61"/>
        <v>1.202933618273556E-3</v>
      </c>
      <c r="K114" s="2"/>
      <c r="L114" s="6">
        <f t="shared" si="62"/>
        <v>-3750</v>
      </c>
      <c r="M114" s="2"/>
      <c r="N114" s="7">
        <f t="shared" si="63"/>
        <v>-1</v>
      </c>
      <c r="O114" s="11"/>
      <c r="P114" s="6"/>
      <c r="Q114" s="2"/>
      <c r="R114" s="7">
        <f t="shared" si="64"/>
        <v>0</v>
      </c>
      <c r="S114" s="2"/>
      <c r="T114" s="6">
        <v>4120</v>
      </c>
      <c r="U114" s="2"/>
      <c r="V114" s="7">
        <f t="shared" si="65"/>
        <v>1.1059319019747057E-3</v>
      </c>
      <c r="W114" s="2"/>
      <c r="X114" s="6">
        <f t="shared" si="66"/>
        <v>-4120</v>
      </c>
      <c r="Y114" s="2"/>
      <c r="Z114" s="7">
        <f t="shared" si="67"/>
        <v>-1</v>
      </c>
    </row>
    <row r="115" spans="1:26" s="24" customFormat="1" hidden="1" outlineLevel="2" x14ac:dyDescent="0.3">
      <c r="A115" s="27"/>
      <c r="B115" s="11" t="str">
        <f>CONCATENATE("          ", "6373", " - ", "MAINTENANCE CONTRACTS")</f>
        <v xml:space="preserve">          6373 - MAINTENANCE CONTRACTS</v>
      </c>
      <c r="C115" s="11"/>
      <c r="D115" s="6">
        <v>6010.42</v>
      </c>
      <c r="E115" s="2"/>
      <c r="F115" s="7">
        <f t="shared" si="60"/>
        <v>3.2380797078919612E-3</v>
      </c>
      <c r="G115" s="2"/>
      <c r="H115" s="6">
        <v>4355</v>
      </c>
      <c r="I115" s="2"/>
      <c r="J115" s="7">
        <f t="shared" si="61"/>
        <v>1.3970069086883564E-3</v>
      </c>
      <c r="K115" s="2"/>
      <c r="L115" s="6">
        <f t="shared" si="62"/>
        <v>1655.42</v>
      </c>
      <c r="M115" s="2"/>
      <c r="N115" s="7">
        <f t="shared" si="63"/>
        <v>0.38011940298507463</v>
      </c>
      <c r="O115" s="11"/>
      <c r="P115" s="6">
        <v>6665.05</v>
      </c>
      <c r="Q115" s="2"/>
      <c r="R115" s="7">
        <f t="shared" si="64"/>
        <v>3.0686621848359102E-3</v>
      </c>
      <c r="S115" s="2"/>
      <c r="T115" s="6">
        <v>10710</v>
      </c>
      <c r="U115" s="2"/>
      <c r="V115" s="7">
        <f t="shared" si="65"/>
        <v>2.8748860849876455E-3</v>
      </c>
      <c r="W115" s="2"/>
      <c r="X115" s="6">
        <f t="shared" si="66"/>
        <v>-4044.95</v>
      </c>
      <c r="Y115" s="2"/>
      <c r="Z115" s="7">
        <f t="shared" si="67"/>
        <v>-0.37767973856209147</v>
      </c>
    </row>
    <row r="116" spans="1:26" s="24" customFormat="1" hidden="1" outlineLevel="2" x14ac:dyDescent="0.3">
      <c r="A116" s="27"/>
      <c r="B116" s="11" t="str">
        <f>CONCATENATE("          ", "6375", " - ", "OUTSIDE REPAIRS &amp; MAINTENANCE")</f>
        <v xml:space="preserve">          6375 - OUTSIDE REPAIRS &amp; MAINTENANCE</v>
      </c>
      <c r="C116" s="11"/>
      <c r="D116" s="6">
        <v>2053.91</v>
      </c>
      <c r="E116" s="2"/>
      <c r="F116" s="7">
        <f t="shared" si="60"/>
        <v>1.1065323709218953E-3</v>
      </c>
      <c r="G116" s="2"/>
      <c r="H116" s="6">
        <v>40</v>
      </c>
      <c r="I116" s="2"/>
      <c r="J116" s="7">
        <f t="shared" si="61"/>
        <v>1.2831291928251265E-5</v>
      </c>
      <c r="K116" s="2"/>
      <c r="L116" s="6">
        <f t="shared" si="62"/>
        <v>2013.9099999999999</v>
      </c>
      <c r="M116" s="2"/>
      <c r="N116" s="7">
        <f t="shared" si="63"/>
        <v>50.347749999999998</v>
      </c>
      <c r="O116" s="11"/>
      <c r="P116" s="6">
        <v>6538.51</v>
      </c>
      <c r="Q116" s="2"/>
      <c r="R116" s="7">
        <f t="shared" si="64"/>
        <v>3.0104017797573084E-3</v>
      </c>
      <c r="S116" s="2"/>
      <c r="T116" s="6">
        <v>80</v>
      </c>
      <c r="U116" s="2"/>
      <c r="V116" s="7">
        <f t="shared" si="65"/>
        <v>2.1474405863586522E-5</v>
      </c>
      <c r="W116" s="2"/>
      <c r="X116" s="6">
        <f t="shared" si="66"/>
        <v>6458.51</v>
      </c>
      <c r="Y116" s="2"/>
      <c r="Z116" s="7">
        <f t="shared" si="67"/>
        <v>80.731375</v>
      </c>
    </row>
    <row r="117" spans="1:26" s="28" customFormat="1" outlineLevel="1" collapsed="1" x14ac:dyDescent="0.3">
      <c r="A117" s="29"/>
      <c r="B117" s="14" t="str">
        <f>CONCATENATE("     ","Royalty &amp; Commissions                             ")</f>
        <v xml:space="preserve">     Royalty &amp; Commissions                             </v>
      </c>
      <c r="C117" s="14"/>
      <c r="D117" s="1">
        <f>SUM(OSRRefD22_17x_0)</f>
        <v>601.89</v>
      </c>
      <c r="E117" s="1"/>
      <c r="F117" s="5">
        <f t="shared" ref="F117:F121" si="68">IF(D$12=0,0,D117/D$12)</f>
        <v>3.2426482598272541E-4</v>
      </c>
      <c r="G117" s="1"/>
      <c r="H117" s="1">
        <f>SUM(OSRRefH22_17x_0)</f>
        <v>5080</v>
      </c>
      <c r="I117" s="1"/>
      <c r="J117" s="5">
        <f t="shared" ref="J117:J121" si="69">IF(H$12=0,0,H117/H$12)</f>
        <v>1.6295740748879107E-3</v>
      </c>
      <c r="K117" s="1"/>
      <c r="L117" s="1">
        <f t="shared" ref="L117:L121" si="70">+D117-H117</f>
        <v>-4478.1099999999997</v>
      </c>
      <c r="M117" s="1"/>
      <c r="N117" s="5">
        <f t="shared" ref="N117:N121" si="71">IF(H117=0,0,L117/H117)</f>
        <v>-0.88151771653543298</v>
      </c>
      <c r="O117" s="14"/>
      <c r="P117" s="1">
        <f>SUM(OSRRefP22_17x_0)</f>
        <v>7956.9900000000007</v>
      </c>
      <c r="Q117" s="1"/>
      <c r="R117" s="5">
        <f t="shared" ref="R117:R121" si="72">IF(P$12=0,0,P117/P$12)</f>
        <v>3.663485542961792E-3</v>
      </c>
      <c r="S117" s="1"/>
      <c r="T117" s="1">
        <f>SUM(OSRRefT22_17x_0)</f>
        <v>17594</v>
      </c>
      <c r="U117" s="1"/>
      <c r="V117" s="5">
        <f t="shared" ref="V117:V121" si="73">IF(T$12=0,0,T117/T$12)</f>
        <v>4.7227587095492653E-3</v>
      </c>
      <c r="W117" s="1"/>
      <c r="X117" s="1">
        <f t="shared" ref="X117:X121" si="74">+P117-T117</f>
        <v>-9637.0099999999984</v>
      </c>
      <c r="Y117" s="1"/>
      <c r="Z117" s="5">
        <f t="shared" ref="Z117:Z121" si="75">IF(T117=0,0,X117/T117)</f>
        <v>-0.5477441173127201</v>
      </c>
    </row>
    <row r="118" spans="1:26" s="24" customFormat="1" hidden="1" outlineLevel="2" x14ac:dyDescent="0.3">
      <c r="A118" s="27"/>
      <c r="B118" s="11" t="str">
        <f>CONCATENATE("          ", "6252", " - ", "ROYALTY DUE CSTV")</f>
        <v xml:space="preserve">          6252 - ROYALTY DUE CSTV</v>
      </c>
      <c r="C118" s="11"/>
      <c r="D118" s="6"/>
      <c r="E118" s="2"/>
      <c r="F118" s="7">
        <f t="shared" si="68"/>
        <v>0</v>
      </c>
      <c r="G118" s="2"/>
      <c r="H118" s="6">
        <v>2080</v>
      </c>
      <c r="I118" s="2"/>
      <c r="J118" s="7">
        <f t="shared" si="69"/>
        <v>6.6722718026906579E-4</v>
      </c>
      <c r="K118" s="2"/>
      <c r="L118" s="6">
        <f t="shared" si="70"/>
        <v>-2080</v>
      </c>
      <c r="M118" s="2"/>
      <c r="N118" s="7">
        <f t="shared" si="71"/>
        <v>-1</v>
      </c>
      <c r="O118" s="11"/>
      <c r="P118" s="6"/>
      <c r="Q118" s="2"/>
      <c r="R118" s="7">
        <f t="shared" si="72"/>
        <v>0</v>
      </c>
      <c r="S118" s="2"/>
      <c r="T118" s="6">
        <v>2922</v>
      </c>
      <c r="U118" s="2"/>
      <c r="V118" s="7">
        <f t="shared" si="73"/>
        <v>7.8435267416749764E-4</v>
      </c>
      <c r="W118" s="2"/>
      <c r="X118" s="6">
        <f t="shared" si="74"/>
        <v>-2922</v>
      </c>
      <c r="Y118" s="2"/>
      <c r="Z118" s="7">
        <f t="shared" si="75"/>
        <v>-1</v>
      </c>
    </row>
    <row r="119" spans="1:26" s="24" customFormat="1" hidden="1" outlineLevel="2" x14ac:dyDescent="0.3">
      <c r="A119" s="27"/>
      <c r="B119" s="11" t="str">
        <f>CONCATENATE("          ", "6253", " - ", "ROYALTY DUE ATHLETICS-LRG")</f>
        <v xml:space="preserve">          6253 - ROYALTY DUE ATHLETICS-LRG</v>
      </c>
      <c r="C119" s="11"/>
      <c r="D119" s="6"/>
      <c r="E119" s="2"/>
      <c r="F119" s="7">
        <f t="shared" si="68"/>
        <v>0</v>
      </c>
      <c r="G119" s="2"/>
      <c r="H119" s="6">
        <v>0</v>
      </c>
      <c r="I119" s="2"/>
      <c r="J119" s="7">
        <f t="shared" si="69"/>
        <v>0</v>
      </c>
      <c r="K119" s="2"/>
      <c r="L119" s="6">
        <f t="shared" si="70"/>
        <v>0</v>
      </c>
      <c r="M119" s="2"/>
      <c r="N119" s="7">
        <f t="shared" si="71"/>
        <v>0</v>
      </c>
      <c r="O119" s="11"/>
      <c r="P119" s="6">
        <v>14376.54</v>
      </c>
      <c r="Q119" s="2"/>
      <c r="R119" s="7">
        <f t="shared" si="72"/>
        <v>6.6191168328490948E-3</v>
      </c>
      <c r="S119" s="2"/>
      <c r="T119" s="6">
        <v>5672</v>
      </c>
      <c r="U119" s="2"/>
      <c r="V119" s="7">
        <f t="shared" si="73"/>
        <v>1.5225353757282844E-3</v>
      </c>
      <c r="W119" s="2"/>
      <c r="X119" s="6">
        <f t="shared" si="74"/>
        <v>8704.5400000000009</v>
      </c>
      <c r="Y119" s="2"/>
      <c r="Z119" s="7">
        <f t="shared" si="75"/>
        <v>1.5346509167842033</v>
      </c>
    </row>
    <row r="120" spans="1:26" s="24" customFormat="1" hidden="1" outlineLevel="2" x14ac:dyDescent="0.3">
      <c r="A120" s="27"/>
      <c r="B120" s="11" t="str">
        <f>CONCATENATE("          ", "6254", " - ", "ROYALTY &amp; COMMISSIONS")</f>
        <v xml:space="preserve">          6254 - ROYALTY &amp; COMMISSIONS</v>
      </c>
      <c r="C120" s="11"/>
      <c r="D120" s="6"/>
      <c r="E120" s="2"/>
      <c r="F120" s="7">
        <f t="shared" si="68"/>
        <v>0</v>
      </c>
      <c r="G120" s="2"/>
      <c r="H120" s="6">
        <v>0</v>
      </c>
      <c r="I120" s="2"/>
      <c r="J120" s="7">
        <f t="shared" si="69"/>
        <v>0</v>
      </c>
      <c r="K120" s="2"/>
      <c r="L120" s="6">
        <f t="shared" si="70"/>
        <v>0</v>
      </c>
      <c r="M120" s="2"/>
      <c r="N120" s="7">
        <f t="shared" si="71"/>
        <v>0</v>
      </c>
      <c r="O120" s="11"/>
      <c r="P120" s="6">
        <v>-7027.5</v>
      </c>
      <c r="Q120" s="2"/>
      <c r="R120" s="7">
        <f t="shared" si="72"/>
        <v>-3.2355381435899746E-3</v>
      </c>
      <c r="S120" s="2"/>
      <c r="T120" s="6">
        <v>0</v>
      </c>
      <c r="U120" s="2"/>
      <c r="V120" s="7">
        <f t="shared" si="73"/>
        <v>0</v>
      </c>
      <c r="W120" s="2"/>
      <c r="X120" s="6">
        <f t="shared" si="74"/>
        <v>-7027.5</v>
      </c>
      <c r="Y120" s="2"/>
      <c r="Z120" s="7">
        <f t="shared" si="75"/>
        <v>0</v>
      </c>
    </row>
    <row r="121" spans="1:26" s="24" customFormat="1" hidden="1" outlineLevel="2" x14ac:dyDescent="0.3">
      <c r="A121" s="27"/>
      <c r="B121" s="11" t="str">
        <f>CONCATENATE("          ", "6259", " - ", "ROYALTY &amp; COMMISSIONS")</f>
        <v xml:space="preserve">          6259 - ROYALTY &amp; COMMISSIONS</v>
      </c>
      <c r="C121" s="11"/>
      <c r="D121" s="6">
        <v>601.89</v>
      </c>
      <c r="E121" s="2"/>
      <c r="F121" s="7">
        <f t="shared" si="68"/>
        <v>3.2426482598272541E-4</v>
      </c>
      <c r="G121" s="2"/>
      <c r="H121" s="6">
        <v>3000</v>
      </c>
      <c r="I121" s="2"/>
      <c r="J121" s="7">
        <f t="shared" si="69"/>
        <v>9.6234689461884482E-4</v>
      </c>
      <c r="K121" s="2"/>
      <c r="L121" s="6">
        <f t="shared" si="70"/>
        <v>-2398.11</v>
      </c>
      <c r="M121" s="2"/>
      <c r="N121" s="7">
        <f t="shared" si="71"/>
        <v>-0.79937000000000002</v>
      </c>
      <c r="O121" s="11"/>
      <c r="P121" s="6">
        <v>607.95000000000005</v>
      </c>
      <c r="Q121" s="2"/>
      <c r="R121" s="7">
        <f t="shared" si="72"/>
        <v>2.7990685370267166E-4</v>
      </c>
      <c r="S121" s="2"/>
      <c r="T121" s="6">
        <v>9000</v>
      </c>
      <c r="U121" s="2"/>
      <c r="V121" s="7">
        <f t="shared" si="73"/>
        <v>2.4158706596534838E-3</v>
      </c>
      <c r="W121" s="2"/>
      <c r="X121" s="6">
        <f t="shared" si="74"/>
        <v>-8392.0499999999993</v>
      </c>
      <c r="Y121" s="2"/>
      <c r="Z121" s="7">
        <f t="shared" si="75"/>
        <v>-0.93244999999999989</v>
      </c>
    </row>
    <row r="122" spans="1:26" s="28" customFormat="1" outlineLevel="1" collapsed="1" x14ac:dyDescent="0.3">
      <c r="A122" s="29"/>
      <c r="B122" s="14" t="str">
        <f>CONCATENATE("     ","Services                                          ")</f>
        <v xml:space="preserve">     Services                                          </v>
      </c>
      <c r="C122" s="14"/>
      <c r="D122" s="1">
        <f>SUM(OSRRefD22_18x_0)</f>
        <v>12958.730000000001</v>
      </c>
      <c r="E122" s="1"/>
      <c r="F122" s="5">
        <f t="shared" ref="F122:F125" si="76">IF(D$12=0,0,D122/D$12)</f>
        <v>6.9814423373159946E-3</v>
      </c>
      <c r="G122" s="1"/>
      <c r="H122" s="1">
        <f>SUM(OSRRefH22_18x_0)</f>
        <v>4360</v>
      </c>
      <c r="I122" s="1"/>
      <c r="J122" s="5">
        <f t="shared" ref="J122:J125" si="77">IF(H$12=0,0,H122/H$12)</f>
        <v>1.3986108201793879E-3</v>
      </c>
      <c r="K122" s="1"/>
      <c r="L122" s="1">
        <f t="shared" ref="L122:L125" si="78">+D122-H122</f>
        <v>8598.7300000000014</v>
      </c>
      <c r="M122" s="1"/>
      <c r="N122" s="5">
        <f t="shared" ref="N122:N125" si="79">IF(H122=0,0,L122/H122)</f>
        <v>1.9721857798165141</v>
      </c>
      <c r="O122" s="14"/>
      <c r="P122" s="1">
        <f>SUM(OSRRefP22_18x_0)</f>
        <v>16965.05</v>
      </c>
      <c r="Q122" s="1"/>
      <c r="R122" s="5">
        <f t="shared" ref="R122:R125" si="80">IF(P$12=0,0,P122/P$12)</f>
        <v>7.8108952519261605E-3</v>
      </c>
      <c r="S122" s="1"/>
      <c r="T122" s="1">
        <f>SUM(OSRRefT22_18x_0)</f>
        <v>8720</v>
      </c>
      <c r="U122" s="1"/>
      <c r="V122" s="5">
        <f t="shared" ref="V122:V125" si="81">IF(T$12=0,0,T122/T$12)</f>
        <v>2.340710239130931E-3</v>
      </c>
      <c r="W122" s="1"/>
      <c r="X122" s="1">
        <f t="shared" ref="X122:X125" si="82">+P122-T122</f>
        <v>8245.0499999999993</v>
      </c>
      <c r="Y122" s="1"/>
      <c r="Z122" s="5">
        <f t="shared" ref="Z122:Z125" si="83">IF(T122=0,0,X122/T122)</f>
        <v>0.94553325688073386</v>
      </c>
    </row>
    <row r="123" spans="1:26" s="24" customFormat="1" hidden="1" outlineLevel="2" x14ac:dyDescent="0.3">
      <c r="A123" s="27"/>
      <c r="B123" s="11" t="str">
        <f>CONCATENATE("          ", "6282", " - ", "JANITORIAL/EXTERMINATOR EXPENS")</f>
        <v xml:space="preserve">          6282 - JANITORIAL/EXTERMINATOR EXPENS</v>
      </c>
      <c r="C123" s="11"/>
      <c r="D123" s="6">
        <v>291</v>
      </c>
      <c r="E123" s="2"/>
      <c r="F123" s="7">
        <f t="shared" si="76"/>
        <v>1.5677460060970126E-4</v>
      </c>
      <c r="G123" s="2"/>
      <c r="H123" s="6">
        <v>4300</v>
      </c>
      <c r="I123" s="2"/>
      <c r="J123" s="7">
        <f t="shared" si="77"/>
        <v>1.379363882287011E-3</v>
      </c>
      <c r="K123" s="2"/>
      <c r="L123" s="6">
        <f t="shared" si="78"/>
        <v>-4009</v>
      </c>
      <c r="M123" s="2"/>
      <c r="N123" s="7">
        <f t="shared" si="79"/>
        <v>-0.93232558139534882</v>
      </c>
      <c r="O123" s="11"/>
      <c r="P123" s="6">
        <v>291</v>
      </c>
      <c r="Q123" s="2"/>
      <c r="R123" s="7">
        <f t="shared" si="80"/>
        <v>1.3397959441973427E-4</v>
      </c>
      <c r="S123" s="2"/>
      <c r="T123" s="6">
        <v>8600</v>
      </c>
      <c r="U123" s="2"/>
      <c r="V123" s="7">
        <f t="shared" si="81"/>
        <v>2.3084986303355511E-3</v>
      </c>
      <c r="W123" s="2"/>
      <c r="X123" s="6">
        <f t="shared" si="82"/>
        <v>-8309</v>
      </c>
      <c r="Y123" s="2"/>
      <c r="Z123" s="7">
        <f t="shared" si="83"/>
        <v>-0.96616279069767441</v>
      </c>
    </row>
    <row r="124" spans="1:26" s="24" customFormat="1" hidden="1" outlineLevel="2" x14ac:dyDescent="0.3">
      <c r="A124" s="27"/>
      <c r="B124" s="11" t="str">
        <f>CONCATENATE("          ", "6284", " - ", "TRASH REMOVAL EXPENSE")</f>
        <v xml:space="preserve">          6284 - TRASH REMOVAL EXPENSE</v>
      </c>
      <c r="C124" s="11"/>
      <c r="D124" s="6">
        <v>149.69999999999999</v>
      </c>
      <c r="E124" s="2"/>
      <c r="F124" s="7">
        <f t="shared" si="76"/>
        <v>8.0650026499217448E-5</v>
      </c>
      <c r="G124" s="2"/>
      <c r="H124" s="6">
        <v>60</v>
      </c>
      <c r="I124" s="2"/>
      <c r="J124" s="7">
        <f t="shared" si="77"/>
        <v>1.9246937892376896E-5</v>
      </c>
      <c r="K124" s="2"/>
      <c r="L124" s="6">
        <f t="shared" si="78"/>
        <v>89.699999999999989</v>
      </c>
      <c r="M124" s="2"/>
      <c r="N124" s="7">
        <f t="shared" si="79"/>
        <v>1.4949999999999999</v>
      </c>
      <c r="O124" s="11"/>
      <c r="P124" s="6">
        <v>292.27</v>
      </c>
      <c r="Q124" s="2"/>
      <c r="R124" s="7">
        <f t="shared" si="80"/>
        <v>1.3456431636101626E-4</v>
      </c>
      <c r="S124" s="2"/>
      <c r="T124" s="6">
        <v>120</v>
      </c>
      <c r="U124" s="2"/>
      <c r="V124" s="7">
        <f t="shared" si="81"/>
        <v>3.2211608795379784E-5</v>
      </c>
      <c r="W124" s="2"/>
      <c r="X124" s="6">
        <f t="shared" si="82"/>
        <v>172.26999999999998</v>
      </c>
      <c r="Y124" s="2"/>
      <c r="Z124" s="7">
        <f t="shared" si="83"/>
        <v>1.4355833333333332</v>
      </c>
    </row>
    <row r="125" spans="1:26" s="24" customFormat="1" hidden="1" outlineLevel="2" x14ac:dyDescent="0.3">
      <c r="A125" s="27"/>
      <c r="B125" s="11" t="str">
        <f>CONCATENATE("          ", "6285", " - ", "JANITORIAL SERVICES")</f>
        <v xml:space="preserve">          6285 - JANITORIAL SERVICES</v>
      </c>
      <c r="C125" s="11"/>
      <c r="D125" s="6">
        <v>12518.03</v>
      </c>
      <c r="E125" s="2"/>
      <c r="F125" s="7">
        <f t="shared" si="76"/>
        <v>6.7440177102070752E-3</v>
      </c>
      <c r="G125" s="2"/>
      <c r="H125" s="6"/>
      <c r="I125" s="2"/>
      <c r="J125" s="7">
        <f t="shared" si="77"/>
        <v>0</v>
      </c>
      <c r="K125" s="2"/>
      <c r="L125" s="6">
        <f t="shared" si="78"/>
        <v>12518.03</v>
      </c>
      <c r="M125" s="2"/>
      <c r="N125" s="7">
        <f t="shared" si="79"/>
        <v>0</v>
      </c>
      <c r="O125" s="11"/>
      <c r="P125" s="6">
        <v>16381.78</v>
      </c>
      <c r="Q125" s="2"/>
      <c r="R125" s="7">
        <f t="shared" si="80"/>
        <v>7.5423513411454106E-3</v>
      </c>
      <c r="S125" s="2"/>
      <c r="T125" s="6"/>
      <c r="U125" s="2"/>
      <c r="V125" s="7">
        <f t="shared" si="81"/>
        <v>0</v>
      </c>
      <c r="W125" s="2"/>
      <c r="X125" s="6">
        <f t="shared" si="82"/>
        <v>16381.78</v>
      </c>
      <c r="Y125" s="2"/>
      <c r="Z125" s="7">
        <f t="shared" si="83"/>
        <v>0</v>
      </c>
    </row>
    <row r="126" spans="1:26" s="28" customFormat="1" outlineLevel="1" collapsed="1" x14ac:dyDescent="0.3">
      <c r="A126" s="29"/>
      <c r="B126" s="14" t="str">
        <f>CONCATENATE("     ","Subscriptions &amp; Dues                              ")</f>
        <v xml:space="preserve">     Subscriptions &amp; Dues                              </v>
      </c>
      <c r="C126" s="14"/>
      <c r="D126" s="1">
        <f>SUM(OSRRefD22_19x_0)</f>
        <v>57</v>
      </c>
      <c r="E126" s="1"/>
      <c r="F126" s="5">
        <f t="shared" ref="F126:F128" si="84">IF(D$12=0,0,D126/D$12)</f>
        <v>3.0708426923549733E-5</v>
      </c>
      <c r="G126" s="1"/>
      <c r="H126" s="1">
        <f>SUM(OSRRefH22_19x_0)</f>
        <v>1361</v>
      </c>
      <c r="I126" s="1"/>
      <c r="J126" s="5">
        <f t="shared" ref="J126:J128" si="85">IF(H$12=0,0,H126/H$12)</f>
        <v>4.3658470785874927E-4</v>
      </c>
      <c r="K126" s="1"/>
      <c r="L126" s="1">
        <f t="shared" ref="L126:L128" si="86">+D126-H126</f>
        <v>-1304</v>
      </c>
      <c r="M126" s="1"/>
      <c r="N126" s="5">
        <f t="shared" ref="N126:N128" si="87">IF(H126=0,0,L126/H126)</f>
        <v>-0.95811903012490818</v>
      </c>
      <c r="O126" s="14"/>
      <c r="P126" s="1">
        <f>SUM(OSRRefP22_19x_0)</f>
        <v>125.32</v>
      </c>
      <c r="Q126" s="1"/>
      <c r="R126" s="5">
        <f t="shared" ref="R126:R128" si="88">IF(P$12=0,0,P126/P$12)</f>
        <v>5.7698703686189338E-5</v>
      </c>
      <c r="S126" s="1"/>
      <c r="T126" s="1">
        <f>SUM(OSRRefT22_19x_0)</f>
        <v>3137</v>
      </c>
      <c r="U126" s="1"/>
      <c r="V126" s="5">
        <f t="shared" ref="V126:V128" si="89">IF(T$12=0,0,T126/T$12)</f>
        <v>8.4206513992588644E-4</v>
      </c>
      <c r="W126" s="1"/>
      <c r="X126" s="1">
        <f t="shared" ref="X126:X128" si="90">+P126-T126</f>
        <v>-3011.68</v>
      </c>
      <c r="Y126" s="1"/>
      <c r="Z126" s="5">
        <f t="shared" ref="Z126:Z128" si="91">IF(T126=0,0,X126/T126)</f>
        <v>-0.96005100414408662</v>
      </c>
    </row>
    <row r="127" spans="1:26" s="24" customFormat="1" hidden="1" outlineLevel="2" x14ac:dyDescent="0.3">
      <c r="A127" s="27"/>
      <c r="B127" s="11" t="str">
        <f>CONCATENATE("          ", "6258", " - ", "MEMBERSHIP DUES")</f>
        <v xml:space="preserve">          6258 - MEMBERSHIP DUES</v>
      </c>
      <c r="C127" s="11"/>
      <c r="D127" s="6">
        <v>57</v>
      </c>
      <c r="E127" s="2"/>
      <c r="F127" s="7">
        <f t="shared" si="84"/>
        <v>3.0708426923549733E-5</v>
      </c>
      <c r="G127" s="2"/>
      <c r="H127" s="6">
        <v>1300</v>
      </c>
      <c r="I127" s="2"/>
      <c r="J127" s="7">
        <f t="shared" si="85"/>
        <v>4.1701698766816609E-4</v>
      </c>
      <c r="K127" s="2"/>
      <c r="L127" s="6">
        <f t="shared" si="86"/>
        <v>-1243</v>
      </c>
      <c r="M127" s="2"/>
      <c r="N127" s="7">
        <f t="shared" si="87"/>
        <v>-0.95615384615384613</v>
      </c>
      <c r="O127" s="11"/>
      <c r="P127" s="6">
        <v>125.32</v>
      </c>
      <c r="Q127" s="2"/>
      <c r="R127" s="7">
        <f t="shared" si="88"/>
        <v>5.7698703686189338E-5</v>
      </c>
      <c r="S127" s="2"/>
      <c r="T127" s="6">
        <v>2995</v>
      </c>
      <c r="U127" s="2"/>
      <c r="V127" s="7">
        <f t="shared" si="89"/>
        <v>8.0394806951802043E-4</v>
      </c>
      <c r="W127" s="2"/>
      <c r="X127" s="6">
        <f t="shared" si="90"/>
        <v>-2869.68</v>
      </c>
      <c r="Y127" s="2"/>
      <c r="Z127" s="7">
        <f t="shared" si="91"/>
        <v>-0.95815692821368947</v>
      </c>
    </row>
    <row r="128" spans="1:26" s="24" customFormat="1" hidden="1" outlineLevel="2" x14ac:dyDescent="0.3">
      <c r="A128" s="27"/>
      <c r="B128" s="11" t="str">
        <f>CONCATENATE("          ", "6275", " - ", "SUBSCRIPTIONS")</f>
        <v xml:space="preserve">          6275 - SUBSCRIPTIONS</v>
      </c>
      <c r="C128" s="11"/>
      <c r="D128" s="6"/>
      <c r="E128" s="2"/>
      <c r="F128" s="7">
        <f t="shared" si="84"/>
        <v>0</v>
      </c>
      <c r="G128" s="2"/>
      <c r="H128" s="6">
        <v>61</v>
      </c>
      <c r="I128" s="2"/>
      <c r="J128" s="7">
        <f t="shared" si="85"/>
        <v>1.9567720190583179E-5</v>
      </c>
      <c r="K128" s="2"/>
      <c r="L128" s="6">
        <f t="shared" si="86"/>
        <v>-61</v>
      </c>
      <c r="M128" s="2"/>
      <c r="N128" s="7">
        <f t="shared" si="87"/>
        <v>-1</v>
      </c>
      <c r="O128" s="11"/>
      <c r="P128" s="6"/>
      <c r="Q128" s="2"/>
      <c r="R128" s="7">
        <f t="shared" si="88"/>
        <v>0</v>
      </c>
      <c r="S128" s="2"/>
      <c r="T128" s="6">
        <v>142</v>
      </c>
      <c r="U128" s="2"/>
      <c r="V128" s="7">
        <f t="shared" si="89"/>
        <v>3.8117070407866076E-5</v>
      </c>
      <c r="W128" s="2"/>
      <c r="X128" s="6">
        <f t="shared" si="90"/>
        <v>-142</v>
      </c>
      <c r="Y128" s="2"/>
      <c r="Z128" s="7">
        <f t="shared" si="91"/>
        <v>-1</v>
      </c>
    </row>
    <row r="129" spans="1:26" s="28" customFormat="1" outlineLevel="1" collapsed="1" x14ac:dyDescent="0.3">
      <c r="A129" s="29"/>
      <c r="B129" s="14" t="str">
        <f>CONCATENATE("     ","Supplies                                          ")</f>
        <v xml:space="preserve">     Supplies                                          </v>
      </c>
      <c r="C129" s="14"/>
      <c r="D129" s="1">
        <f>SUM(OSRRefD22_20x_0)</f>
        <v>16315.83</v>
      </c>
      <c r="E129" s="1"/>
      <c r="F129" s="5">
        <f t="shared" ref="F129:F135" si="92">IF(D$12=0,0,D129/D$12)</f>
        <v>8.7900609342466737E-3</v>
      </c>
      <c r="G129" s="1"/>
      <c r="H129" s="1">
        <f>SUM(OSRRefH22_20x_0)</f>
        <v>7620</v>
      </c>
      <c r="I129" s="1"/>
      <c r="J129" s="5">
        <f t="shared" ref="J129:J135" si="93">IF(H$12=0,0,H129/H$12)</f>
        <v>2.444361112331866E-3</v>
      </c>
      <c r="K129" s="1"/>
      <c r="L129" s="1">
        <f t="shared" ref="L129:L135" si="94">+D129-H129</f>
        <v>8695.83</v>
      </c>
      <c r="M129" s="1"/>
      <c r="N129" s="5">
        <f t="shared" ref="N129:N135" si="95">IF(H129=0,0,L129/H129)</f>
        <v>1.1411850393700786</v>
      </c>
      <c r="O129" s="14"/>
      <c r="P129" s="1">
        <f>SUM(OSRRefP22_20x_0)</f>
        <v>25443.989999999998</v>
      </c>
      <c r="Q129" s="1"/>
      <c r="R129" s="5">
        <f t="shared" ref="R129:R135" si="96">IF(P$12=0,0,P129/P$12)</f>
        <v>1.1714692304535307E-2</v>
      </c>
      <c r="S129" s="1"/>
      <c r="T129" s="1">
        <f>SUM(OSRRefT22_20x_0)</f>
        <v>18480</v>
      </c>
      <c r="U129" s="1"/>
      <c r="V129" s="5">
        <f t="shared" ref="V129:V135" si="97">IF(T$12=0,0,T129/T$12)</f>
        <v>4.9605877544884863E-3</v>
      </c>
      <c r="W129" s="1"/>
      <c r="X129" s="1">
        <f t="shared" ref="X129:X135" si="98">+P129-T129</f>
        <v>6963.989999999998</v>
      </c>
      <c r="Y129" s="1"/>
      <c r="Z129" s="5">
        <f t="shared" ref="Z129:Z135" si="99">IF(T129=0,0,X129/T129)</f>
        <v>0.3768392857142856</v>
      </c>
    </row>
    <row r="130" spans="1:26" s="24" customFormat="1" hidden="1" outlineLevel="2" x14ac:dyDescent="0.3">
      <c r="A130" s="27"/>
      <c r="B130" s="11" t="str">
        <f>CONCATENATE("          ", "6235", " - ", "COVID-19 EXPENSES")</f>
        <v xml:space="preserve">          6235 - COVID-19 EXPENSES</v>
      </c>
      <c r="C130" s="11"/>
      <c r="D130" s="6">
        <v>2695.61</v>
      </c>
      <c r="E130" s="2"/>
      <c r="F130" s="7">
        <f t="shared" si="92"/>
        <v>1.4522446087612262E-3</v>
      </c>
      <c r="G130" s="2"/>
      <c r="H130" s="6">
        <v>125</v>
      </c>
      <c r="I130" s="2"/>
      <c r="J130" s="7">
        <f t="shared" si="93"/>
        <v>4.0097787275785205E-5</v>
      </c>
      <c r="K130" s="2"/>
      <c r="L130" s="6">
        <f t="shared" si="94"/>
        <v>2570.61</v>
      </c>
      <c r="M130" s="2"/>
      <c r="N130" s="7">
        <f t="shared" si="95"/>
        <v>20.564880000000002</v>
      </c>
      <c r="O130" s="11"/>
      <c r="P130" s="6">
        <v>2967.83</v>
      </c>
      <c r="Q130" s="2"/>
      <c r="R130" s="7">
        <f t="shared" si="96"/>
        <v>1.3664215110196561E-3</v>
      </c>
      <c r="S130" s="2"/>
      <c r="T130" s="6">
        <v>250</v>
      </c>
      <c r="U130" s="2"/>
      <c r="V130" s="7">
        <f t="shared" si="97"/>
        <v>6.7107518323707881E-5</v>
      </c>
      <c r="W130" s="2"/>
      <c r="X130" s="6">
        <f t="shared" si="98"/>
        <v>2717.83</v>
      </c>
      <c r="Y130" s="2"/>
      <c r="Z130" s="7">
        <f t="shared" si="99"/>
        <v>10.871319999999999</v>
      </c>
    </row>
    <row r="131" spans="1:26" s="24" customFormat="1" hidden="1" outlineLevel="2" x14ac:dyDescent="0.3">
      <c r="A131" s="27"/>
      <c r="B131" s="11" t="str">
        <f>CONCATENATE("          ", "6237", " - ", "JANITORIAL SUPPLIES")</f>
        <v xml:space="preserve">          6237 - JANITORIAL SUPPLIES</v>
      </c>
      <c r="C131" s="11"/>
      <c r="D131" s="6">
        <v>1169.72</v>
      </c>
      <c r="E131" s="2"/>
      <c r="F131" s="7">
        <f t="shared" si="92"/>
        <v>6.3018002001779996E-4</v>
      </c>
      <c r="G131" s="2"/>
      <c r="H131" s="6">
        <v>10</v>
      </c>
      <c r="I131" s="2"/>
      <c r="J131" s="7">
        <f t="shared" si="93"/>
        <v>3.2078229820628161E-6</v>
      </c>
      <c r="K131" s="2"/>
      <c r="L131" s="6">
        <f t="shared" si="94"/>
        <v>1159.72</v>
      </c>
      <c r="M131" s="2"/>
      <c r="N131" s="7">
        <f t="shared" si="95"/>
        <v>115.97200000000001</v>
      </c>
      <c r="O131" s="11"/>
      <c r="P131" s="6">
        <v>1825.69</v>
      </c>
      <c r="Q131" s="2"/>
      <c r="R131" s="7">
        <f t="shared" si="96"/>
        <v>8.4056771730640781E-4</v>
      </c>
      <c r="S131" s="2"/>
      <c r="T131" s="6">
        <v>60</v>
      </c>
      <c r="U131" s="2"/>
      <c r="V131" s="7">
        <f t="shared" si="97"/>
        <v>1.6105804397689892E-5</v>
      </c>
      <c r="W131" s="2"/>
      <c r="X131" s="6">
        <f t="shared" si="98"/>
        <v>1765.69</v>
      </c>
      <c r="Y131" s="2"/>
      <c r="Z131" s="7">
        <f t="shared" si="99"/>
        <v>29.428166666666666</v>
      </c>
    </row>
    <row r="132" spans="1:26" s="24" customFormat="1" hidden="1" outlineLevel="2" x14ac:dyDescent="0.3">
      <c r="A132" s="27"/>
      <c r="B132" s="11" t="str">
        <f>CONCATENATE("          ", "6241", " - ", "OFFICE EXPENSE")</f>
        <v xml:space="preserve">          6241 - OFFICE EXPENSE</v>
      </c>
      <c r="C132" s="11"/>
      <c r="D132" s="6">
        <v>5642.81</v>
      </c>
      <c r="E132" s="2"/>
      <c r="F132" s="7">
        <f t="shared" si="92"/>
        <v>3.0400319040083455E-3</v>
      </c>
      <c r="G132" s="2"/>
      <c r="H132" s="6">
        <v>880</v>
      </c>
      <c r="I132" s="2"/>
      <c r="J132" s="7">
        <f t="shared" si="93"/>
        <v>2.8228842242152783E-4</v>
      </c>
      <c r="K132" s="2"/>
      <c r="L132" s="6">
        <f t="shared" si="94"/>
        <v>4762.8100000000004</v>
      </c>
      <c r="M132" s="2"/>
      <c r="N132" s="7">
        <f t="shared" si="95"/>
        <v>5.4122840909090915</v>
      </c>
      <c r="O132" s="11"/>
      <c r="P132" s="6">
        <v>6058.02</v>
      </c>
      <c r="Q132" s="2"/>
      <c r="R132" s="7">
        <f t="shared" si="96"/>
        <v>2.7891789092324352E-3</v>
      </c>
      <c r="S132" s="2"/>
      <c r="T132" s="6">
        <v>1460</v>
      </c>
      <c r="U132" s="2"/>
      <c r="V132" s="7">
        <f t="shared" si="97"/>
        <v>3.9190790701045403E-4</v>
      </c>
      <c r="W132" s="2"/>
      <c r="X132" s="6">
        <f t="shared" si="98"/>
        <v>4598.0200000000004</v>
      </c>
      <c r="Y132" s="2"/>
      <c r="Z132" s="7">
        <f t="shared" si="99"/>
        <v>3.1493287671232881</v>
      </c>
    </row>
    <row r="133" spans="1:26" s="24" customFormat="1" hidden="1" outlineLevel="2" x14ac:dyDescent="0.3">
      <c r="A133" s="27"/>
      <c r="B133" s="11" t="str">
        <f>CONCATENATE("          ", "6243", " - ", "PAPER SUPPLIES")</f>
        <v xml:space="preserve">          6243 - PAPER SUPPLIES</v>
      </c>
      <c r="C133" s="11"/>
      <c r="D133" s="6">
        <v>1801.68</v>
      </c>
      <c r="E133" s="2"/>
      <c r="F133" s="7">
        <f t="shared" si="92"/>
        <v>9.7064488806352777E-4</v>
      </c>
      <c r="G133" s="2"/>
      <c r="H133" s="6">
        <v>900</v>
      </c>
      <c r="I133" s="2"/>
      <c r="J133" s="7">
        <f t="shared" si="93"/>
        <v>2.8870406838565346E-4</v>
      </c>
      <c r="K133" s="2"/>
      <c r="L133" s="6">
        <f t="shared" si="94"/>
        <v>901.68000000000006</v>
      </c>
      <c r="M133" s="2"/>
      <c r="N133" s="7">
        <f t="shared" si="95"/>
        <v>1.0018666666666667</v>
      </c>
      <c r="O133" s="11"/>
      <c r="P133" s="6">
        <v>3450.92</v>
      </c>
      <c r="Q133" s="2"/>
      <c r="R133" s="7">
        <f t="shared" si="96"/>
        <v>1.5888414500857366E-3</v>
      </c>
      <c r="S133" s="2"/>
      <c r="T133" s="6">
        <v>5100</v>
      </c>
      <c r="U133" s="2"/>
      <c r="V133" s="7">
        <f t="shared" si="97"/>
        <v>1.3689933738036408E-3</v>
      </c>
      <c r="W133" s="2"/>
      <c r="X133" s="6">
        <f t="shared" si="98"/>
        <v>-1649.08</v>
      </c>
      <c r="Y133" s="2"/>
      <c r="Z133" s="7">
        <f t="shared" si="99"/>
        <v>-0.32334901960784312</v>
      </c>
    </row>
    <row r="134" spans="1:26" s="24" customFormat="1" hidden="1" outlineLevel="2" x14ac:dyDescent="0.3">
      <c r="A134" s="27"/>
      <c r="B134" s="11" t="str">
        <f>CONCATENATE("          ", "6245", " - ", "PRINTING")</f>
        <v xml:space="preserve">          6245 - PRINTING</v>
      </c>
      <c r="C134" s="11"/>
      <c r="D134" s="6">
        <v>-851.82</v>
      </c>
      <c r="E134" s="2"/>
      <c r="F134" s="7">
        <f t="shared" si="92"/>
        <v>-4.5891319687751112E-4</v>
      </c>
      <c r="G134" s="2"/>
      <c r="H134" s="6">
        <v>30</v>
      </c>
      <c r="I134" s="2"/>
      <c r="J134" s="7">
        <f t="shared" si="93"/>
        <v>9.623468946188448E-6</v>
      </c>
      <c r="K134" s="2"/>
      <c r="L134" s="6">
        <f t="shared" si="94"/>
        <v>-881.82</v>
      </c>
      <c r="M134" s="2"/>
      <c r="N134" s="7">
        <f t="shared" si="95"/>
        <v>-29.394000000000002</v>
      </c>
      <c r="O134" s="11"/>
      <c r="P134" s="6">
        <v>-600.17999999999995</v>
      </c>
      <c r="Q134" s="2"/>
      <c r="R134" s="7">
        <f t="shared" si="96"/>
        <v>-2.7632946040837149E-4</v>
      </c>
      <c r="S134" s="2"/>
      <c r="T134" s="6">
        <v>55</v>
      </c>
      <c r="U134" s="2"/>
      <c r="V134" s="7">
        <f t="shared" si="97"/>
        <v>1.4763654031215734E-5</v>
      </c>
      <c r="W134" s="2"/>
      <c r="X134" s="6">
        <f t="shared" si="98"/>
        <v>-655.17999999999995</v>
      </c>
      <c r="Y134" s="2"/>
      <c r="Z134" s="7">
        <f t="shared" si="99"/>
        <v>-11.912363636363635</v>
      </c>
    </row>
    <row r="135" spans="1:26" s="24" customFormat="1" hidden="1" outlineLevel="2" x14ac:dyDescent="0.3">
      <c r="A135" s="27"/>
      <c r="B135" s="11" t="str">
        <f>CONCATENATE("          ", "6247", " - ", "STORE SUPPLIES")</f>
        <v xml:space="preserve">          6247 - STORE SUPPLIES</v>
      </c>
      <c r="C135" s="11"/>
      <c r="D135" s="6">
        <v>5857.83</v>
      </c>
      <c r="E135" s="2"/>
      <c r="F135" s="7">
        <f t="shared" si="92"/>
        <v>3.1558727102732865E-3</v>
      </c>
      <c r="G135" s="2"/>
      <c r="H135" s="6">
        <v>5675</v>
      </c>
      <c r="I135" s="2"/>
      <c r="J135" s="7">
        <f t="shared" si="93"/>
        <v>1.8204395423206481E-3</v>
      </c>
      <c r="K135" s="2"/>
      <c r="L135" s="6">
        <f t="shared" si="94"/>
        <v>182.82999999999993</v>
      </c>
      <c r="M135" s="2"/>
      <c r="N135" s="7">
        <f t="shared" si="95"/>
        <v>3.2216740088105711E-2</v>
      </c>
      <c r="O135" s="11"/>
      <c r="P135" s="6">
        <v>11741.71</v>
      </c>
      <c r="Q135" s="2"/>
      <c r="R135" s="7">
        <f t="shared" si="96"/>
        <v>5.4060121772994433E-3</v>
      </c>
      <c r="S135" s="2"/>
      <c r="T135" s="6">
        <v>11555</v>
      </c>
      <c r="U135" s="2"/>
      <c r="V135" s="7">
        <f t="shared" si="97"/>
        <v>3.1017094969217783E-3</v>
      </c>
      <c r="W135" s="2"/>
      <c r="X135" s="6">
        <f t="shared" si="98"/>
        <v>186.70999999999913</v>
      </c>
      <c r="Y135" s="2"/>
      <c r="Z135" s="7">
        <f t="shared" si="99"/>
        <v>1.6158372998701785E-2</v>
      </c>
    </row>
    <row r="136" spans="1:26" s="28" customFormat="1" outlineLevel="1" collapsed="1" x14ac:dyDescent="0.3">
      <c r="A136" s="29"/>
      <c r="B136" s="14" t="str">
        <f>CONCATENATE("     ","Telephone/Data Lines                              ")</f>
        <v xml:space="preserve">     Telephone/Data Lines                              </v>
      </c>
      <c r="C136" s="14"/>
      <c r="D136" s="1">
        <f>SUM(OSRRefD22_21x_0)</f>
        <v>2291.39</v>
      </c>
      <c r="E136" s="1"/>
      <c r="F136" s="5">
        <f t="shared" ref="F136:F138" si="100">IF(D$12=0,0,D136/D$12)</f>
        <v>1.2344733748833794E-3</v>
      </c>
      <c r="G136" s="1"/>
      <c r="H136" s="1">
        <f>SUM(OSRRefH22_21x_0)</f>
        <v>2310</v>
      </c>
      <c r="I136" s="1"/>
      <c r="J136" s="5">
        <f t="shared" ref="J136:J138" si="101">IF(H$12=0,0,H136/H$12)</f>
        <v>7.4100710885651052E-4</v>
      </c>
      <c r="K136" s="1"/>
      <c r="L136" s="1">
        <f t="shared" ref="L136:L138" si="102">+D136-H136</f>
        <v>-18.610000000000127</v>
      </c>
      <c r="M136" s="1"/>
      <c r="N136" s="5">
        <f t="shared" ref="N136:N138" si="103">IF(H136=0,0,L136/H136)</f>
        <v>-8.056277056277112E-3</v>
      </c>
      <c r="O136" s="14"/>
      <c r="P136" s="1">
        <f>SUM(OSRRefP22_21x_0)</f>
        <v>4143.13</v>
      </c>
      <c r="Q136" s="1"/>
      <c r="R136" s="5">
        <f t="shared" ref="R136:R138" si="104">IF(P$12=0,0,P136/P$12)</f>
        <v>1.9075425327430709E-3</v>
      </c>
      <c r="S136" s="1"/>
      <c r="T136" s="1">
        <f>SUM(OSRRefT22_21x_0)</f>
        <v>4370</v>
      </c>
      <c r="U136" s="1"/>
      <c r="V136" s="5">
        <f t="shared" ref="V136:V138" si="105">IF(T$12=0,0,T136/T$12)</f>
        <v>1.1730394202984138E-3</v>
      </c>
      <c r="W136" s="1"/>
      <c r="X136" s="1">
        <f t="shared" ref="X136:X138" si="106">+P136-T136</f>
        <v>-226.86999999999989</v>
      </c>
      <c r="Y136" s="1"/>
      <c r="Z136" s="5">
        <f t="shared" ref="Z136:Z138" si="107">IF(T136=0,0,X136/T136)</f>
        <v>-5.1915331807780296E-2</v>
      </c>
    </row>
    <row r="137" spans="1:26" s="24" customFormat="1" hidden="1" outlineLevel="2" x14ac:dyDescent="0.3">
      <c r="A137" s="27"/>
      <c r="B137" s="11" t="str">
        <f>CONCATENATE("          ", "6303", " - ", "DATA PHONE LINES")</f>
        <v xml:space="preserve">          6303 - DATA PHONE LINES</v>
      </c>
      <c r="C137" s="11"/>
      <c r="D137" s="6"/>
      <c r="E137" s="2"/>
      <c r="F137" s="7">
        <f t="shared" si="100"/>
        <v>0</v>
      </c>
      <c r="G137" s="2"/>
      <c r="H137" s="6">
        <v>0</v>
      </c>
      <c r="I137" s="2"/>
      <c r="J137" s="7">
        <f t="shared" si="101"/>
        <v>0</v>
      </c>
      <c r="K137" s="2"/>
      <c r="L137" s="6">
        <f t="shared" si="102"/>
        <v>0</v>
      </c>
      <c r="M137" s="2"/>
      <c r="N137" s="7">
        <f t="shared" si="103"/>
        <v>0</v>
      </c>
      <c r="O137" s="11"/>
      <c r="P137" s="6">
        <v>295</v>
      </c>
      <c r="Q137" s="2"/>
      <c r="R137" s="7">
        <f t="shared" si="104"/>
        <v>1.3582123832928388E-4</v>
      </c>
      <c r="S137" s="2"/>
      <c r="T137" s="6">
        <v>0</v>
      </c>
      <c r="U137" s="2"/>
      <c r="V137" s="7">
        <f t="shared" si="105"/>
        <v>0</v>
      </c>
      <c r="W137" s="2"/>
      <c r="X137" s="6">
        <f t="shared" si="106"/>
        <v>295</v>
      </c>
      <c r="Y137" s="2"/>
      <c r="Z137" s="7">
        <f t="shared" si="107"/>
        <v>0</v>
      </c>
    </row>
    <row r="138" spans="1:26" s="24" customFormat="1" hidden="1" outlineLevel="2" x14ac:dyDescent="0.3">
      <c r="A138" s="27"/>
      <c r="B138" s="11" t="str">
        <f>CONCATENATE("          ", "6309", " - ", "TELEPHONE")</f>
        <v xml:space="preserve">          6309 - TELEPHONE</v>
      </c>
      <c r="C138" s="11"/>
      <c r="D138" s="6">
        <v>2291.39</v>
      </c>
      <c r="E138" s="2"/>
      <c r="F138" s="7">
        <f t="shared" si="100"/>
        <v>1.2344733748833794E-3</v>
      </c>
      <c r="G138" s="2"/>
      <c r="H138" s="6">
        <v>2310</v>
      </c>
      <c r="I138" s="2"/>
      <c r="J138" s="7">
        <f t="shared" si="101"/>
        <v>7.4100710885651052E-4</v>
      </c>
      <c r="K138" s="2"/>
      <c r="L138" s="6">
        <f t="shared" si="102"/>
        <v>-18.610000000000127</v>
      </c>
      <c r="M138" s="2"/>
      <c r="N138" s="7">
        <f t="shared" si="103"/>
        <v>-8.056277056277112E-3</v>
      </c>
      <c r="O138" s="11"/>
      <c r="P138" s="6">
        <v>3848.13</v>
      </c>
      <c r="Q138" s="2"/>
      <c r="R138" s="7">
        <f t="shared" si="104"/>
        <v>1.7717212944137869E-3</v>
      </c>
      <c r="S138" s="2"/>
      <c r="T138" s="6">
        <v>4370</v>
      </c>
      <c r="U138" s="2"/>
      <c r="V138" s="7">
        <f t="shared" si="105"/>
        <v>1.1730394202984138E-3</v>
      </c>
      <c r="W138" s="2"/>
      <c r="X138" s="6">
        <f t="shared" si="106"/>
        <v>-521.86999999999989</v>
      </c>
      <c r="Y138" s="2"/>
      <c r="Z138" s="7">
        <f t="shared" si="107"/>
        <v>-0.11942105263157893</v>
      </c>
    </row>
    <row r="139" spans="1:26" s="28" customFormat="1" outlineLevel="1" collapsed="1" x14ac:dyDescent="0.3">
      <c r="A139" s="29"/>
      <c r="B139" s="14" t="str">
        <f>CONCATENATE("     ","Travel                                            ")</f>
        <v xml:space="preserve">     Travel                                            </v>
      </c>
      <c r="C139" s="14"/>
      <c r="D139" s="1">
        <f>SUM(OSRRefD22_22x_0)</f>
        <v>0</v>
      </c>
      <c r="E139" s="1"/>
      <c r="F139" s="5">
        <f t="shared" ref="F139:F142" si="108">IF(D$12=0,0,D139/D$12)</f>
        <v>0</v>
      </c>
      <c r="G139" s="1"/>
      <c r="H139" s="1">
        <f>SUM(OSRRefH22_22x_0)</f>
        <v>175</v>
      </c>
      <c r="I139" s="1"/>
      <c r="J139" s="5">
        <f t="shared" ref="J139:J142" si="109">IF(H$12=0,0,H139/H$12)</f>
        <v>5.6136902186099285E-5</v>
      </c>
      <c r="K139" s="1"/>
      <c r="L139" s="1">
        <f t="shared" ref="L139:L142" si="110">+D139-H139</f>
        <v>-175</v>
      </c>
      <c r="M139" s="1"/>
      <c r="N139" s="5">
        <f t="shared" ref="N139:N142" si="111">IF(H139=0,0,L139/H139)</f>
        <v>-1</v>
      </c>
      <c r="O139" s="14"/>
      <c r="P139" s="1">
        <f>SUM(OSRRefP22_22x_0)</f>
        <v>683.14</v>
      </c>
      <c r="Q139" s="1"/>
      <c r="R139" s="5">
        <f t="shared" ref="R139:R142" si="112">IF(P$12=0,0,P139/P$12)</f>
        <v>3.1452515509243045E-4</v>
      </c>
      <c r="S139" s="1"/>
      <c r="T139" s="1">
        <f>SUM(OSRRefT22_22x_0)</f>
        <v>350</v>
      </c>
      <c r="U139" s="1"/>
      <c r="V139" s="5">
        <f t="shared" ref="V139:V142" si="113">IF(T$12=0,0,T139/T$12)</f>
        <v>9.3950525653191025E-5</v>
      </c>
      <c r="W139" s="1"/>
      <c r="X139" s="1">
        <f t="shared" ref="X139:X142" si="114">+P139-T139</f>
        <v>333.14</v>
      </c>
      <c r="Y139" s="1"/>
      <c r="Z139" s="5">
        <f t="shared" ref="Z139:Z142" si="115">IF(T139=0,0,X139/T139)</f>
        <v>0.95182857142857136</v>
      </c>
    </row>
    <row r="140" spans="1:26" s="24" customFormat="1" hidden="1" outlineLevel="2" x14ac:dyDescent="0.3">
      <c r="A140" s="27"/>
      <c r="B140" s="11" t="str">
        <f>CONCATENATE("          ", "6292", " - ", "TRAVEL/CONFERENCE")</f>
        <v xml:space="preserve">          6292 - TRAVEL/CONFERENCE</v>
      </c>
      <c r="C140" s="11"/>
      <c r="D140" s="6"/>
      <c r="E140" s="2"/>
      <c r="F140" s="7">
        <f t="shared" si="108"/>
        <v>0</v>
      </c>
      <c r="G140" s="2"/>
      <c r="H140" s="6">
        <v>125</v>
      </c>
      <c r="I140" s="2"/>
      <c r="J140" s="7">
        <f t="shared" si="109"/>
        <v>4.0097787275785205E-5</v>
      </c>
      <c r="K140" s="2"/>
      <c r="L140" s="6">
        <f t="shared" si="110"/>
        <v>-125</v>
      </c>
      <c r="M140" s="2"/>
      <c r="N140" s="7">
        <f t="shared" si="111"/>
        <v>-1</v>
      </c>
      <c r="O140" s="11"/>
      <c r="P140" s="6">
        <v>495</v>
      </c>
      <c r="Q140" s="2"/>
      <c r="R140" s="7">
        <f t="shared" si="112"/>
        <v>2.2790343380676447E-4</v>
      </c>
      <c r="S140" s="2"/>
      <c r="T140" s="6">
        <v>250</v>
      </c>
      <c r="U140" s="2"/>
      <c r="V140" s="7">
        <f t="shared" si="113"/>
        <v>6.7107518323707881E-5</v>
      </c>
      <c r="W140" s="2"/>
      <c r="X140" s="6">
        <f t="shared" si="114"/>
        <v>245</v>
      </c>
      <c r="Y140" s="2"/>
      <c r="Z140" s="7">
        <f t="shared" si="115"/>
        <v>0.98</v>
      </c>
    </row>
    <row r="141" spans="1:26" s="24" customFormat="1" hidden="1" outlineLevel="2" x14ac:dyDescent="0.3">
      <c r="A141" s="27"/>
      <c r="B141" s="11" t="str">
        <f>CONCATENATE("          ", "6294", " - ", "TRAVEL OPERATIONAL")</f>
        <v xml:space="preserve">          6294 - TRAVEL OPERATIONAL</v>
      </c>
      <c r="C141" s="11"/>
      <c r="D141" s="6"/>
      <c r="E141" s="2"/>
      <c r="F141" s="7">
        <f t="shared" si="108"/>
        <v>0</v>
      </c>
      <c r="G141" s="2"/>
      <c r="H141" s="6">
        <v>25</v>
      </c>
      <c r="I141" s="2"/>
      <c r="J141" s="7">
        <f t="shared" si="109"/>
        <v>8.0195574551570414E-6</v>
      </c>
      <c r="K141" s="2"/>
      <c r="L141" s="6">
        <f t="shared" si="110"/>
        <v>-25</v>
      </c>
      <c r="M141" s="2"/>
      <c r="N141" s="7">
        <f t="shared" si="111"/>
        <v>-1</v>
      </c>
      <c r="O141" s="11"/>
      <c r="P141" s="6">
        <v>188.14</v>
      </c>
      <c r="Q141" s="2"/>
      <c r="R141" s="7">
        <f t="shared" si="112"/>
        <v>8.6621721285665983E-5</v>
      </c>
      <c r="S141" s="2"/>
      <c r="T141" s="6">
        <v>50</v>
      </c>
      <c r="U141" s="2"/>
      <c r="V141" s="7">
        <f t="shared" si="113"/>
        <v>1.3421503664741576E-5</v>
      </c>
      <c r="W141" s="2"/>
      <c r="X141" s="6">
        <f t="shared" si="114"/>
        <v>138.13999999999999</v>
      </c>
      <c r="Y141" s="2"/>
      <c r="Z141" s="7">
        <f t="shared" si="115"/>
        <v>2.7627999999999999</v>
      </c>
    </row>
    <row r="142" spans="1:26" s="24" customFormat="1" hidden="1" outlineLevel="2" x14ac:dyDescent="0.3">
      <c r="A142" s="27"/>
      <c r="B142" s="11" t="str">
        <f>CONCATENATE("          ", "6298", " - ", "VEHICLE MILEAGE")</f>
        <v xml:space="preserve">          6298 - VEHICLE MILEAGE</v>
      </c>
      <c r="C142" s="11"/>
      <c r="D142" s="6"/>
      <c r="E142" s="2"/>
      <c r="F142" s="7">
        <f t="shared" si="108"/>
        <v>0</v>
      </c>
      <c r="G142" s="2"/>
      <c r="H142" s="6">
        <v>25</v>
      </c>
      <c r="I142" s="2"/>
      <c r="J142" s="7">
        <f t="shared" si="109"/>
        <v>8.0195574551570414E-6</v>
      </c>
      <c r="K142" s="2"/>
      <c r="L142" s="6">
        <f t="shared" si="110"/>
        <v>-25</v>
      </c>
      <c r="M142" s="2"/>
      <c r="N142" s="7">
        <f t="shared" si="111"/>
        <v>-1</v>
      </c>
      <c r="O142" s="11"/>
      <c r="P142" s="6"/>
      <c r="Q142" s="2"/>
      <c r="R142" s="7">
        <f t="shared" si="112"/>
        <v>0</v>
      </c>
      <c r="S142" s="2"/>
      <c r="T142" s="6">
        <v>50</v>
      </c>
      <c r="U142" s="2"/>
      <c r="V142" s="7">
        <f t="shared" si="113"/>
        <v>1.3421503664741576E-5</v>
      </c>
      <c r="W142" s="2"/>
      <c r="X142" s="6">
        <f t="shared" si="114"/>
        <v>-50</v>
      </c>
      <c r="Y142" s="2"/>
      <c r="Z142" s="7">
        <f t="shared" si="115"/>
        <v>-1</v>
      </c>
    </row>
    <row r="143" spans="1:26" s="28" customFormat="1" outlineLevel="1" collapsed="1" x14ac:dyDescent="0.3">
      <c r="A143" s="29"/>
      <c r="B143" s="14" t="str">
        <f>CONCATENATE("     ","Utilities                                         ")</f>
        <v xml:space="preserve">     Utilities                                         </v>
      </c>
      <c r="C143" s="14"/>
      <c r="D143" s="1">
        <f>SUM(OSRRefD22_23x_0)</f>
        <v>6037.29</v>
      </c>
      <c r="E143" s="1"/>
      <c r="F143" s="5">
        <f t="shared" ref="F143:F144" si="116">IF(D$12=0,0,D143/D$12)</f>
        <v>3.252555768092589E-3</v>
      </c>
      <c r="G143" s="1"/>
      <c r="H143" s="1">
        <f>SUM(OSRRefH22_23x_0)</f>
        <v>6120</v>
      </c>
      <c r="I143" s="1"/>
      <c r="J143" s="5">
        <f t="shared" ref="J143:J144" si="117">IF(H$12=0,0,H143/H$12)</f>
        <v>1.9631876650224437E-3</v>
      </c>
      <c r="K143" s="1"/>
      <c r="L143" s="1">
        <f t="shared" ref="L143:L144" si="118">+D143-H143</f>
        <v>-82.710000000000036</v>
      </c>
      <c r="M143" s="1"/>
      <c r="N143" s="5">
        <f t="shared" ref="N143:N144" si="119">IF(H143=0,0,L143/H143)</f>
        <v>-1.3514705882352948E-2</v>
      </c>
      <c r="O143" s="14"/>
      <c r="P143" s="1">
        <f>SUM(OSRRefP22_23x_0)</f>
        <v>12073.78</v>
      </c>
      <c r="Q143" s="1"/>
      <c r="R143" s="5">
        <f t="shared" ref="R143:R144" si="120">IF(P$12=0,0,P143/P$12)</f>
        <v>5.5589008505604783E-3</v>
      </c>
      <c r="S143" s="1"/>
      <c r="T143" s="1">
        <f>SUM(OSRRefT22_23x_0)</f>
        <v>12240</v>
      </c>
      <c r="U143" s="1"/>
      <c r="V143" s="5">
        <f t="shared" ref="V143:V144" si="121">IF(T$12=0,0,T143/T$12)</f>
        <v>3.2855840971287376E-3</v>
      </c>
      <c r="W143" s="1"/>
      <c r="X143" s="1">
        <f t="shared" ref="X143:X144" si="122">+P143-T143</f>
        <v>-166.21999999999935</v>
      </c>
      <c r="Y143" s="1"/>
      <c r="Z143" s="5">
        <f t="shared" ref="Z143:Z144" si="123">IF(T143=0,0,X143/T143)</f>
        <v>-1.358006535947707E-2</v>
      </c>
    </row>
    <row r="144" spans="1:26" s="24" customFormat="1" hidden="1" outlineLevel="2" x14ac:dyDescent="0.3">
      <c r="A144" s="27"/>
      <c r="B144" s="11" t="str">
        <f>CONCATENATE("          ", "6274", " - ", "UTILITIES")</f>
        <v xml:space="preserve">          6274 - UTILITIES</v>
      </c>
      <c r="C144" s="11"/>
      <c r="D144" s="6">
        <v>6037.29</v>
      </c>
      <c r="E144" s="2"/>
      <c r="F144" s="7">
        <f t="shared" si="116"/>
        <v>3.252555768092589E-3</v>
      </c>
      <c r="G144" s="2"/>
      <c r="H144" s="6">
        <v>6120</v>
      </c>
      <c r="I144" s="2"/>
      <c r="J144" s="7">
        <f t="shared" si="117"/>
        <v>1.9631876650224437E-3</v>
      </c>
      <c r="K144" s="2"/>
      <c r="L144" s="6">
        <f t="shared" si="118"/>
        <v>-82.710000000000036</v>
      </c>
      <c r="M144" s="2"/>
      <c r="N144" s="7">
        <f t="shared" si="119"/>
        <v>-1.3514705882352948E-2</v>
      </c>
      <c r="O144" s="11"/>
      <c r="P144" s="6">
        <v>12073.78</v>
      </c>
      <c r="Q144" s="2"/>
      <c r="R144" s="7">
        <f t="shared" si="120"/>
        <v>5.5589008505604783E-3</v>
      </c>
      <c r="S144" s="2"/>
      <c r="T144" s="6">
        <v>12240</v>
      </c>
      <c r="U144" s="2"/>
      <c r="V144" s="7">
        <f t="shared" si="121"/>
        <v>3.2855840971287376E-3</v>
      </c>
      <c r="W144" s="2"/>
      <c r="X144" s="6">
        <f t="shared" si="122"/>
        <v>-166.21999999999935</v>
      </c>
      <c r="Y144" s="2"/>
      <c r="Z144" s="7">
        <f t="shared" si="123"/>
        <v>-1.358006535947707E-2</v>
      </c>
    </row>
    <row r="145" spans="1:26" s="53" customFormat="1" x14ac:dyDescent="0.3">
      <c r="A145" s="36"/>
      <c r="B145" s="36"/>
      <c r="C145" s="36"/>
      <c r="D145" s="1"/>
      <c r="E145" s="1"/>
      <c r="F145" s="5"/>
      <c r="G145" s="1"/>
      <c r="H145" s="1"/>
      <c r="I145" s="1"/>
      <c r="J145" s="5"/>
      <c r="K145" s="1"/>
      <c r="L145" s="1"/>
      <c r="M145" s="1"/>
      <c r="N145" s="5"/>
      <c r="O145" s="36"/>
      <c r="P145" s="1"/>
      <c r="Q145" s="1"/>
      <c r="R145" s="5"/>
      <c r="S145" s="1"/>
      <c r="T145" s="1"/>
      <c r="U145" s="1"/>
      <c r="V145" s="5"/>
      <c r="W145" s="1"/>
      <c r="X145" s="1"/>
      <c r="Y145" s="1"/>
      <c r="Z145" s="5"/>
    </row>
    <row r="146" spans="1:26" s="23" customFormat="1" collapsed="1" x14ac:dyDescent="0.3">
      <c r="A146" s="10"/>
      <c r="B146" s="25" t="s">
        <v>293</v>
      </c>
      <c r="C146" s="10"/>
      <c r="D146" s="4">
        <f>SUM(OSRRefD25x_0)</f>
        <v>146544.03999999998</v>
      </c>
      <c r="E146" s="4"/>
      <c r="F146" s="12">
        <f t="shared" ref="F146:F153" si="124">IF(D$12=0,0,D146/D$12)</f>
        <v>7.8949770937223662E-2</v>
      </c>
      <c r="G146" s="4"/>
      <c r="H146" s="4">
        <f>SUM(OSRRefH25x_0)</f>
        <v>56755</v>
      </c>
      <c r="I146" s="4"/>
      <c r="J146" s="12">
        <f t="shared" ref="J146:J153" si="125">IF(H$12=0,0,H146/H$12)</f>
        <v>1.8205999334697513E-2</v>
      </c>
      <c r="K146" s="4"/>
      <c r="L146" s="4">
        <f t="shared" ref="L146:L153" si="126">+D146-H146</f>
        <v>89789.039999999979</v>
      </c>
      <c r="M146" s="4"/>
      <c r="N146" s="12">
        <f t="shared" ref="N146:N153" si="127">IF(H146=0,0,L146/H146)</f>
        <v>1.5820463395295565</v>
      </c>
      <c r="O146" s="10"/>
      <c r="P146" s="4">
        <f>SUM(OSRRefP25x_0)</f>
        <v>186378.27</v>
      </c>
      <c r="Q146" s="4"/>
      <c r="R146" s="12">
        <f t="shared" ref="R146:R153" si="128">IF(P$12=0,0,P146/P$12)</f>
        <v>8.5810601454473279E-2</v>
      </c>
      <c r="S146" s="4"/>
      <c r="T146" s="4">
        <f>SUM(OSRRefT25x_0)</f>
        <v>81108</v>
      </c>
      <c r="U146" s="4"/>
      <c r="V146" s="12">
        <f t="shared" ref="V146:V153" si="129">IF(T$12=0,0,T146/T$12)</f>
        <v>2.1771826384797195E-2</v>
      </c>
      <c r="W146" s="4"/>
      <c r="X146" s="4">
        <f t="shared" ref="X146:X153" si="130">+P146-T146</f>
        <v>105270.26999999999</v>
      </c>
      <c r="Y146" s="4"/>
      <c r="Z146" s="12">
        <f t="shared" ref="Z146:Z153" si="131">IF(T146=0,0,X146/T146)</f>
        <v>1.297902426394437</v>
      </c>
    </row>
    <row r="147" spans="1:26" s="24" customFormat="1" hidden="1" outlineLevel="1" x14ac:dyDescent="0.3">
      <c r="A147" s="44"/>
      <c r="B147" s="11" t="str">
        <f>CONCATENATE("          ", "4187", " - ", "NON-TAXABLE SALES-COMPUTER REP")</f>
        <v xml:space="preserve">          4187 - NON-TAXABLE SALES-COMPUTER REP</v>
      </c>
      <c r="C147" s="11"/>
      <c r="D147" s="2">
        <f>0</f>
        <v>0</v>
      </c>
      <c r="E147" s="2"/>
      <c r="F147" s="19">
        <f t="shared" si="124"/>
        <v>0</v>
      </c>
      <c r="G147" s="2"/>
      <c r="H147" s="2"/>
      <c r="I147" s="2"/>
      <c r="J147" s="19">
        <f t="shared" si="125"/>
        <v>0</v>
      </c>
      <c r="K147" s="2"/>
      <c r="L147" s="2">
        <f t="shared" si="126"/>
        <v>0</v>
      </c>
      <c r="M147" s="2"/>
      <c r="N147" s="19">
        <f t="shared" si="127"/>
        <v>0</v>
      </c>
      <c r="O147" s="11"/>
      <c r="P147" s="2">
        <f>0</f>
        <v>0</v>
      </c>
      <c r="Q147" s="2"/>
      <c r="R147" s="19">
        <f t="shared" si="128"/>
        <v>0</v>
      </c>
      <c r="S147" s="2"/>
      <c r="T147" s="2"/>
      <c r="U147" s="2"/>
      <c r="V147" s="19">
        <f t="shared" si="129"/>
        <v>0</v>
      </c>
      <c r="W147" s="2"/>
      <c r="X147" s="2">
        <f t="shared" si="130"/>
        <v>0</v>
      </c>
      <c r="Y147" s="2"/>
      <c r="Z147" s="19">
        <f t="shared" si="131"/>
        <v>0</v>
      </c>
    </row>
    <row r="148" spans="1:26" s="24" customFormat="1" hidden="1" outlineLevel="1" x14ac:dyDescent="0.3">
      <c r="A148" s="44"/>
      <c r="B148" s="11" t="str">
        <f>CONCATENATE("          ", "9087", " - ", "")</f>
        <v xml:space="preserve">          9087 - </v>
      </c>
      <c r="C148" s="11"/>
      <c r="D148" s="2">
        <f>--946.54</f>
        <v>946.54</v>
      </c>
      <c r="E148" s="2"/>
      <c r="F148" s="19">
        <f t="shared" si="124"/>
        <v>5.0994306000380282E-4</v>
      </c>
      <c r="G148" s="2"/>
      <c r="H148" s="2"/>
      <c r="I148" s="2"/>
      <c r="J148" s="19">
        <f t="shared" si="125"/>
        <v>0</v>
      </c>
      <c r="K148" s="2"/>
      <c r="L148" s="2">
        <f t="shared" si="126"/>
        <v>946.54</v>
      </c>
      <c r="M148" s="2"/>
      <c r="N148" s="19">
        <f t="shared" si="127"/>
        <v>0</v>
      </c>
      <c r="O148" s="11"/>
      <c r="P148" s="2">
        <f>--1020.01</f>
        <v>1020.01</v>
      </c>
      <c r="Q148" s="2"/>
      <c r="R148" s="19">
        <f t="shared" si="128"/>
        <v>4.696238010449249E-4</v>
      </c>
      <c r="S148" s="2"/>
      <c r="T148" s="2"/>
      <c r="U148" s="2"/>
      <c r="V148" s="19">
        <f t="shared" si="129"/>
        <v>0</v>
      </c>
      <c r="W148" s="2"/>
      <c r="X148" s="2">
        <f t="shared" si="130"/>
        <v>1020.01</v>
      </c>
      <c r="Y148" s="2"/>
      <c r="Z148" s="19">
        <f t="shared" si="131"/>
        <v>0</v>
      </c>
    </row>
    <row r="149" spans="1:26" s="24" customFormat="1" hidden="1" outlineLevel="1" x14ac:dyDescent="0.3">
      <c r="A149" s="44"/>
      <c r="B149" s="11" t="str">
        <f>CONCATENATE("          ", "9150", " - ", "MISC. INCOME")</f>
        <v xml:space="preserve">          9150 - MISC. INCOME</v>
      </c>
      <c r="C149" s="11"/>
      <c r="D149" s="2">
        <f>--76114.03</f>
        <v>76114.03</v>
      </c>
      <c r="E149" s="2"/>
      <c r="F149" s="19">
        <f t="shared" si="124"/>
        <v>4.1006002247576702E-2</v>
      </c>
      <c r="G149" s="2"/>
      <c r="H149" s="2">
        <v>13755</v>
      </c>
      <c r="I149" s="2"/>
      <c r="J149" s="19">
        <f t="shared" si="125"/>
        <v>4.412360511827404E-3</v>
      </c>
      <c r="K149" s="2"/>
      <c r="L149" s="2">
        <f t="shared" si="126"/>
        <v>62359.03</v>
      </c>
      <c r="M149" s="2"/>
      <c r="N149" s="19">
        <f t="shared" si="127"/>
        <v>4.5335536168665937</v>
      </c>
      <c r="O149" s="11"/>
      <c r="P149" s="2">
        <f>--109478.93</f>
        <v>109478.93</v>
      </c>
      <c r="Q149" s="2"/>
      <c r="R149" s="19">
        <f t="shared" si="128"/>
        <v>5.0405301164627068E-2</v>
      </c>
      <c r="S149" s="2"/>
      <c r="T149" s="2">
        <v>38108</v>
      </c>
      <c r="U149" s="2"/>
      <c r="V149" s="19">
        <f t="shared" si="129"/>
        <v>1.0229333233119439E-2</v>
      </c>
      <c r="W149" s="2"/>
      <c r="X149" s="2">
        <f t="shared" si="130"/>
        <v>71370.929999999993</v>
      </c>
      <c r="Y149" s="2"/>
      <c r="Z149" s="19">
        <f t="shared" si="131"/>
        <v>1.8728595045659702</v>
      </c>
    </row>
    <row r="150" spans="1:26" s="24" customFormat="1" hidden="1" outlineLevel="1" x14ac:dyDescent="0.3">
      <c r="A150" s="44"/>
      <c r="B150" s="11" t="str">
        <f>CONCATENATE("          ", "9151", " - ", "MISC. INCOME")</f>
        <v xml:space="preserve">          9151 - MISC. INCOME</v>
      </c>
      <c r="C150" s="11"/>
      <c r="D150" s="2">
        <f>--11556.36</f>
        <v>11556.36</v>
      </c>
      <c r="E150" s="2"/>
      <c r="F150" s="19">
        <f t="shared" si="124"/>
        <v>6.225923448460232E-3</v>
      </c>
      <c r="G150" s="2"/>
      <c r="H150" s="2">
        <v>43000</v>
      </c>
      <c r="I150" s="2"/>
      <c r="J150" s="19">
        <f t="shared" si="125"/>
        <v>1.3793638822870109E-2</v>
      </c>
      <c r="K150" s="2"/>
      <c r="L150" s="2">
        <f t="shared" si="126"/>
        <v>-31443.64</v>
      </c>
      <c r="M150" s="2"/>
      <c r="N150" s="19">
        <f t="shared" si="127"/>
        <v>-0.73124744186046509</v>
      </c>
      <c r="O150" s="11"/>
      <c r="P150" s="2">
        <f>--11556.36</f>
        <v>11556.36</v>
      </c>
      <c r="Q150" s="2"/>
      <c r="R150" s="19">
        <f t="shared" si="128"/>
        <v>5.3206750026406884E-3</v>
      </c>
      <c r="S150" s="2"/>
      <c r="T150" s="2">
        <v>43000</v>
      </c>
      <c r="U150" s="2"/>
      <c r="V150" s="19">
        <f t="shared" si="129"/>
        <v>1.1542493151677755E-2</v>
      </c>
      <c r="W150" s="2"/>
      <c r="X150" s="2">
        <f t="shared" si="130"/>
        <v>-31443.64</v>
      </c>
      <c r="Y150" s="2"/>
      <c r="Z150" s="19">
        <f t="shared" si="131"/>
        <v>-0.73124744186046509</v>
      </c>
    </row>
    <row r="151" spans="1:26" s="24" customFormat="1" hidden="1" outlineLevel="1" x14ac:dyDescent="0.3">
      <c r="A151" s="44"/>
      <c r="B151" s="11" t="str">
        <f>CONCATENATE("          ", "9152", " - ", "MISC. INCOME")</f>
        <v xml:space="preserve">          9152 - MISC. INCOME</v>
      </c>
      <c r="C151" s="11"/>
      <c r="D151" s="2">
        <f>--936.11</f>
        <v>936.11</v>
      </c>
      <c r="E151" s="2"/>
      <c r="F151" s="19">
        <f t="shared" si="124"/>
        <v>5.0432395662112529E-4</v>
      </c>
      <c r="G151" s="2"/>
      <c r="H151" s="2"/>
      <c r="I151" s="2"/>
      <c r="J151" s="19">
        <f t="shared" si="125"/>
        <v>0</v>
      </c>
      <c r="K151" s="2"/>
      <c r="L151" s="2">
        <f t="shared" si="126"/>
        <v>936.11</v>
      </c>
      <c r="M151" s="2"/>
      <c r="N151" s="19">
        <f t="shared" si="127"/>
        <v>0</v>
      </c>
      <c r="O151" s="11"/>
      <c r="P151" s="2">
        <f>--1003.03</f>
        <v>1003.03</v>
      </c>
      <c r="Q151" s="2"/>
      <c r="R151" s="19">
        <f t="shared" si="128"/>
        <v>4.6180602264888677E-4</v>
      </c>
      <c r="S151" s="2"/>
      <c r="T151" s="2"/>
      <c r="U151" s="2"/>
      <c r="V151" s="19">
        <f t="shared" si="129"/>
        <v>0</v>
      </c>
      <c r="W151" s="2"/>
      <c r="X151" s="2">
        <f t="shared" si="130"/>
        <v>1003.03</v>
      </c>
      <c r="Y151" s="2"/>
      <c r="Z151" s="19">
        <f t="shared" si="131"/>
        <v>0</v>
      </c>
    </row>
    <row r="152" spans="1:26" s="24" customFormat="1" hidden="1" outlineLevel="1" x14ac:dyDescent="0.3">
      <c r="A152" s="44"/>
      <c r="B152" s="11" t="str">
        <f>CONCATENATE("          ", "9160", " - ", "MISC. INCOME")</f>
        <v xml:space="preserve">          9160 - MISC. INCOME</v>
      </c>
      <c r="C152" s="11"/>
      <c r="D152" s="2">
        <f>0</f>
        <v>0</v>
      </c>
      <c r="E152" s="2"/>
      <c r="F152" s="19">
        <f t="shared" si="124"/>
        <v>0</v>
      </c>
      <c r="G152" s="2"/>
      <c r="H152" s="2">
        <v>0</v>
      </c>
      <c r="I152" s="2"/>
      <c r="J152" s="19">
        <f t="shared" si="125"/>
        <v>0</v>
      </c>
      <c r="K152" s="2"/>
      <c r="L152" s="2">
        <f t="shared" si="126"/>
        <v>0</v>
      </c>
      <c r="M152" s="2"/>
      <c r="N152" s="19">
        <f t="shared" si="127"/>
        <v>0</v>
      </c>
      <c r="O152" s="11"/>
      <c r="P152" s="2">
        <f>0</f>
        <v>0</v>
      </c>
      <c r="Q152" s="2"/>
      <c r="R152" s="19">
        <f t="shared" si="128"/>
        <v>0</v>
      </c>
      <c r="S152" s="2"/>
      <c r="T152" s="2">
        <v>0</v>
      </c>
      <c r="U152" s="2"/>
      <c r="V152" s="19">
        <f t="shared" si="129"/>
        <v>0</v>
      </c>
      <c r="W152" s="2"/>
      <c r="X152" s="2">
        <f t="shared" si="130"/>
        <v>0</v>
      </c>
      <c r="Y152" s="2"/>
      <c r="Z152" s="19">
        <f t="shared" si="131"/>
        <v>0</v>
      </c>
    </row>
    <row r="153" spans="1:26" s="24" customFormat="1" hidden="1" outlineLevel="1" x14ac:dyDescent="0.3">
      <c r="A153" s="44"/>
      <c r="B153" s="11" t="str">
        <f>CONCATENATE("          ", "9163", " - ", "MISC. INCOME")</f>
        <v xml:space="preserve">          9163 - MISC. INCOME</v>
      </c>
      <c r="C153" s="11"/>
      <c r="D153" s="2">
        <f>--56991</f>
        <v>56991</v>
      </c>
      <c r="E153" s="2"/>
      <c r="F153" s="19">
        <f t="shared" si="124"/>
        <v>3.0703578224561805E-2</v>
      </c>
      <c r="G153" s="2"/>
      <c r="H153" s="2"/>
      <c r="I153" s="2"/>
      <c r="J153" s="19">
        <f t="shared" si="125"/>
        <v>0</v>
      </c>
      <c r="K153" s="2"/>
      <c r="L153" s="2">
        <f t="shared" si="126"/>
        <v>56991</v>
      </c>
      <c r="M153" s="2"/>
      <c r="N153" s="19">
        <f t="shared" si="127"/>
        <v>0</v>
      </c>
      <c r="O153" s="11"/>
      <c r="P153" s="2">
        <f>--63319.94</f>
        <v>63319.94</v>
      </c>
      <c r="Q153" s="2"/>
      <c r="R153" s="19">
        <f t="shared" si="128"/>
        <v>2.9153195463511715E-2</v>
      </c>
      <c r="S153" s="2"/>
      <c r="T153" s="2"/>
      <c r="U153" s="2"/>
      <c r="V153" s="19">
        <f t="shared" si="129"/>
        <v>0</v>
      </c>
      <c r="W153" s="2"/>
      <c r="X153" s="2">
        <f t="shared" si="130"/>
        <v>63319.94</v>
      </c>
      <c r="Y153" s="2"/>
      <c r="Z153" s="19">
        <f t="shared" si="131"/>
        <v>0</v>
      </c>
    </row>
    <row r="154" spans="1:26" x14ac:dyDescent="0.3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x14ac:dyDescent="0.3">
      <c r="A155" s="10"/>
      <c r="B155" s="26" t="s">
        <v>277</v>
      </c>
      <c r="C155" s="26"/>
      <c r="D155" s="21">
        <f>+D55-D57+D146</f>
        <v>364578.14000000013</v>
      </c>
      <c r="E155" s="13"/>
      <c r="F155" s="20">
        <f>IF(D$12=0,0,D155/D$12)</f>
        <v>0.19641440649322259</v>
      </c>
      <c r="G155" s="13"/>
      <c r="H155" s="21">
        <f>+H55-H57+H146</f>
        <v>611854.7806634095</v>
      </c>
      <c r="I155" s="13"/>
      <c r="J155" s="20">
        <f>IF(H$12=0,0,H155/H$12)</f>
        <v>0.19627218270970886</v>
      </c>
      <c r="K155" s="16"/>
      <c r="L155" s="21">
        <f>+D155-H155</f>
        <v>-247276.64066340937</v>
      </c>
      <c r="M155" s="16"/>
      <c r="N155" s="20">
        <f>IF(H155=0,0,L155/H155)</f>
        <v>-0.40414269607454445</v>
      </c>
      <c r="O155" s="25"/>
      <c r="P155" s="21">
        <f>+P55-P57+P146</f>
        <v>130108.97999999949</v>
      </c>
      <c r="Q155" s="13"/>
      <c r="R155" s="20">
        <f>IF(P$12=0,0,P155/P$12)</f>
        <v>5.9903602648677827E-2</v>
      </c>
      <c r="S155" s="13"/>
      <c r="T155" s="21">
        <f>+T55-T57+T146</f>
        <v>370293.02229579678</v>
      </c>
      <c r="U155" s="13"/>
      <c r="V155" s="20">
        <f>IF(T$12=0,0,T155/T$12)</f>
        <v>9.9397783115425409E-2</v>
      </c>
      <c r="W155" s="16"/>
      <c r="X155" s="21">
        <f>+P155-T155</f>
        <v>-240184.04229579729</v>
      </c>
      <c r="Y155" s="16"/>
      <c r="Z155" s="20">
        <f>IF(T155=0,0,X155/T155)</f>
        <v>-0.6486323744548822</v>
      </c>
    </row>
    <row r="156" spans="1:26" x14ac:dyDescent="0.3">
      <c r="A156" s="9"/>
      <c r="B156" s="10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3">
      <c r="A157" s="52"/>
      <c r="B157" s="10" t="s">
        <v>128</v>
      </c>
      <c r="C157" s="10"/>
      <c r="D157" s="4">
        <v>178664.08</v>
      </c>
      <c r="E157" s="4"/>
      <c r="F157" s="12">
        <f>IF(D$12=0,0,D157/D$12)</f>
        <v>9.6254260430583216E-2</v>
      </c>
      <c r="G157" s="4"/>
      <c r="H157" s="4">
        <v>197037</v>
      </c>
      <c r="I157" s="4"/>
      <c r="J157" s="12">
        <f>IF(H$12=0,0,H157/H$12)</f>
        <v>6.3205981691671118E-2</v>
      </c>
      <c r="K157" s="4"/>
      <c r="L157" s="4">
        <f>+D157-H157</f>
        <v>-18372.920000000013</v>
      </c>
      <c r="M157" s="4"/>
      <c r="N157" s="12">
        <f>IF(H157=0,0,L157/H157)</f>
        <v>-9.3246040083842185E-2</v>
      </c>
      <c r="O157" s="10"/>
      <c r="P157" s="4">
        <v>324564.46999999997</v>
      </c>
      <c r="Q157" s="4"/>
      <c r="R157" s="12">
        <f>IF(P$12=0,0,P157/P$12)</f>
        <v>0.14943304485792441</v>
      </c>
      <c r="S157" s="4"/>
      <c r="T157" s="4">
        <v>417219</v>
      </c>
      <c r="U157" s="4"/>
      <c r="V157" s="12">
        <f>IF(T$12=0,0,T157/T$12)</f>
        <v>0.11199412674999631</v>
      </c>
      <c r="W157" s="4"/>
      <c r="X157" s="4">
        <f>+P157-T157</f>
        <v>-92654.530000000028</v>
      </c>
      <c r="Y157" s="4"/>
      <c r="Z157" s="12">
        <f>IF(T157=0,0,X157/T157)</f>
        <v>-0.22207648740829164</v>
      </c>
    </row>
    <row r="158" spans="1:26" x14ac:dyDescent="0.3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ht="15" thickBot="1" x14ac:dyDescent="0.35">
      <c r="A159" s="10"/>
      <c r="B159" s="26" t="s">
        <v>126</v>
      </c>
      <c r="C159" s="26"/>
      <c r="D159" s="30">
        <f>+D155-D157</f>
        <v>185914.06000000014</v>
      </c>
      <c r="E159" s="13"/>
      <c r="F159" s="35">
        <f>IF(D$12=0,0,D159/D$12)</f>
        <v>0.10016014606263939</v>
      </c>
      <c r="G159" s="13"/>
      <c r="H159" s="30">
        <f>+H155-H157</f>
        <v>414817.7806634095</v>
      </c>
      <c r="I159" s="13"/>
      <c r="J159" s="35">
        <f>IF(H$12=0,0,H159/H$12)</f>
        <v>0.13306620101803776</v>
      </c>
      <c r="K159" s="16"/>
      <c r="L159" s="30">
        <f>D159-H159</f>
        <v>-228903.72066340936</v>
      </c>
      <c r="M159" s="16"/>
      <c r="N159" s="35">
        <f>IF(H159=0,0,L159/H159)</f>
        <v>-0.55181752406400797</v>
      </c>
      <c r="O159" s="25"/>
      <c r="P159" s="30">
        <f>+P155-P157</f>
        <v>-194455.49000000049</v>
      </c>
      <c r="Q159" s="13"/>
      <c r="R159" s="35">
        <f>IF(P$12=0,0,P159/P$12)</f>
        <v>-8.9529442209246593E-2</v>
      </c>
      <c r="S159" s="13"/>
      <c r="T159" s="30">
        <f>+T155-T157</f>
        <v>-46925.977704203222</v>
      </c>
      <c r="U159" s="13"/>
      <c r="V159" s="35">
        <f>IF(T$12=0,0,T159/T$12)</f>
        <v>-1.25963436345709E-2</v>
      </c>
      <c r="W159" s="16"/>
      <c r="X159" s="30">
        <f>P159-T159</f>
        <v>-147529.51229579726</v>
      </c>
      <c r="Y159" s="16"/>
      <c r="Z159" s="35">
        <f>IF(T159=0,0,X159/T159)</f>
        <v>3.1438772192610673</v>
      </c>
    </row>
    <row r="160" spans="1:26" ht="15" thickTop="1" x14ac:dyDescent="0.3">
      <c r="A160" s="9"/>
      <c r="B160" s="9"/>
      <c r="C160" s="9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x14ac:dyDescent="0.3">
      <c r="A161" s="9"/>
      <c r="B161" s="9"/>
      <c r="C161" s="9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ht="15" thickBot="1" x14ac:dyDescent="0.35">
      <c r="A162" s="10"/>
      <c r="B162" s="26" t="s">
        <v>294</v>
      </c>
      <c r="C162" s="26"/>
      <c r="D162" s="32">
        <f>SUM(D159:D161)</f>
        <v>185914.06000000014</v>
      </c>
      <c r="E162" s="13"/>
      <c r="F162" s="34">
        <f>IF(D$12=0,0,D162/D$12)</f>
        <v>0.10016014606263939</v>
      </c>
      <c r="G162" s="13"/>
      <c r="H162" s="32">
        <f>SUM(H159:H161)</f>
        <v>414817.7806634095</v>
      </c>
      <c r="I162" s="13"/>
      <c r="J162" s="34">
        <f>IF(H$12=0,0,H162/H$12)</f>
        <v>0.13306620101803776</v>
      </c>
      <c r="K162" s="16"/>
      <c r="L162" s="32">
        <f>+D162-H162</f>
        <v>-228903.72066340936</v>
      </c>
      <c r="M162" s="16"/>
      <c r="N162" s="34">
        <f>IF(H162=0,0,L162/H162)</f>
        <v>-0.55181752406400797</v>
      </c>
      <c r="O162" s="25"/>
      <c r="P162" s="32">
        <f>SUM(P159:P161)</f>
        <v>-194455.49000000049</v>
      </c>
      <c r="Q162" s="13"/>
      <c r="R162" s="34">
        <f>IF(P$12=0,0,P162/P$12)</f>
        <v>-8.9529442209246593E-2</v>
      </c>
      <c r="S162" s="13"/>
      <c r="T162" s="32">
        <f>SUM(T159:T161)</f>
        <v>-46925.977704203222</v>
      </c>
      <c r="U162" s="13"/>
      <c r="V162" s="34">
        <f>IF(T$12=0,0,T162/T$12)</f>
        <v>-1.25963436345709E-2</v>
      </c>
      <c r="W162" s="16"/>
      <c r="X162" s="32">
        <f>+P162-T162</f>
        <v>-147529.51229579726</v>
      </c>
      <c r="Y162" s="16"/>
      <c r="Z162" s="34">
        <f>IF(T162=0,0,X162/T162)</f>
        <v>3.1438772192610673</v>
      </c>
    </row>
    <row r="163" spans="1:26" ht="15" thickTop="1" x14ac:dyDescent="0.3">
      <c r="A163" s="9"/>
      <c r="C163" s="9"/>
      <c r="D163" s="17"/>
      <c r="E163" s="17"/>
      <c r="G163" s="17"/>
      <c r="H163" s="17"/>
      <c r="I163" s="17"/>
      <c r="J163" s="42"/>
      <c r="K163" s="17"/>
      <c r="L163" s="17"/>
      <c r="M163" s="17"/>
      <c r="P163" s="17"/>
      <c r="Q163" s="17"/>
      <c r="R163" s="42"/>
      <c r="S163" s="17"/>
      <c r="T163" s="17"/>
      <c r="U163" s="17"/>
      <c r="V163" s="42"/>
      <c r="W163" s="17"/>
      <c r="X163" s="17"/>
    </row>
    <row r="164" spans="1:26" x14ac:dyDescent="0.3">
      <c r="A164" s="9"/>
      <c r="B164" s="61">
        <v>44470.835507094911</v>
      </c>
      <c r="D164" s="17"/>
      <c r="E164" s="17"/>
      <c r="G164" s="17"/>
      <c r="H164" s="17"/>
      <c r="I164" s="17"/>
      <c r="J164" s="42"/>
      <c r="K164" s="17"/>
      <c r="L164" s="17"/>
      <c r="M164" s="17"/>
      <c r="P164" s="17"/>
      <c r="Q164" s="17"/>
      <c r="R164" s="42"/>
      <c r="S164" s="17"/>
      <c r="T164" s="17"/>
      <c r="U164" s="17"/>
      <c r="V164" s="42"/>
      <c r="W164" s="17"/>
      <c r="X164" s="17"/>
    </row>
    <row r="165" spans="1:26" x14ac:dyDescent="0.3">
      <c r="A165" s="9"/>
      <c r="B165" s="58" t="s">
        <v>56</v>
      </c>
      <c r="D165" s="17"/>
      <c r="E165" s="17"/>
      <c r="G165" s="17"/>
      <c r="H165" s="17"/>
      <c r="I165" s="17"/>
      <c r="J165" s="42"/>
      <c r="K165" s="17"/>
      <c r="L165" s="17"/>
      <c r="M165" s="17"/>
      <c r="P165" s="17"/>
      <c r="Q165" s="17"/>
      <c r="R165" s="42"/>
      <c r="S165" s="17"/>
      <c r="T165" s="17"/>
      <c r="U165" s="17"/>
      <c r="V165" s="42"/>
      <c r="W165" s="17"/>
      <c r="X165" s="17"/>
    </row>
    <row r="166" spans="1:26" x14ac:dyDescent="0.3">
      <c r="A166" s="9"/>
      <c r="B166" s="55"/>
      <c r="D166" s="17"/>
      <c r="E166" s="17"/>
      <c r="G166" s="17"/>
      <c r="H166" s="17"/>
      <c r="I166" s="17"/>
      <c r="J166" s="42"/>
      <c r="K166" s="17"/>
      <c r="L166" s="17"/>
      <c r="M166" s="17"/>
      <c r="P166" s="17"/>
      <c r="Q166" s="17"/>
      <c r="R166" s="42"/>
      <c r="S166" s="17"/>
      <c r="T166" s="17"/>
      <c r="U166" s="17"/>
      <c r="V166" s="42"/>
      <c r="W166" s="17"/>
      <c r="X166" s="17"/>
    </row>
    <row r="167" spans="1:26" x14ac:dyDescent="0.3">
      <c r="D167" s="17"/>
      <c r="E167" s="17"/>
      <c r="G167" s="17"/>
      <c r="H167" s="17"/>
      <c r="I167" s="17"/>
      <c r="J167" s="42"/>
      <c r="K167" s="17"/>
      <c r="L167" s="17"/>
      <c r="M167" s="17"/>
      <c r="P167" s="17"/>
      <c r="Q167" s="17"/>
      <c r="R167" s="42"/>
      <c r="S167" s="17"/>
      <c r="T167" s="17"/>
      <c r="U167" s="17"/>
      <c r="V167" s="42"/>
      <c r="W167" s="17"/>
      <c r="X167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","301", " - ", "Bookstore Operations")</f>
        <v>Department 301 - Bookstore Operations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166653.49000000002</v>
      </c>
      <c r="E18" s="22"/>
      <c r="F18" s="31">
        <f t="shared" ref="F18:F29" si="0">IF(D$12=0,0,D18/D$12)</f>
        <v>0</v>
      </c>
      <c r="G18" s="22"/>
      <c r="H18" s="22">
        <f>SUM(OSRRefH22x_0)</f>
        <v>190601.3911008077</v>
      </c>
      <c r="I18" s="22"/>
      <c r="J18" s="31">
        <f t="shared" ref="J18:J29" si="1">IF(H$12=0,0,H18/H$12)</f>
        <v>0</v>
      </c>
      <c r="K18" s="4"/>
      <c r="L18" s="22">
        <f t="shared" ref="L18:L29" si="2">+D18-H18</f>
        <v>-23947.901100807678</v>
      </c>
      <c r="M18" s="4"/>
      <c r="N18" s="31">
        <f t="shared" ref="N18:N29" si="3">IF(H18=0,0,L18/H18)</f>
        <v>-0.12564389463528</v>
      </c>
      <c r="O18" s="10"/>
      <c r="P18" s="22">
        <f>SUM(OSRRefP22x_0)</f>
        <v>346328.41000000009</v>
      </c>
      <c r="Q18" s="22"/>
      <c r="R18" s="31">
        <f t="shared" ref="R18:R29" si="4">IF(P$12=0,0,P18/P$12)</f>
        <v>0</v>
      </c>
      <c r="S18" s="22"/>
      <c r="T18" s="22">
        <f>SUM(OSRRefT22x_0)</f>
        <v>355062.16414869233</v>
      </c>
      <c r="U18" s="22"/>
      <c r="V18" s="31">
        <f t="shared" ref="V18:V29" si="5">IF(T$12=0,0,T18/T$12)</f>
        <v>0</v>
      </c>
      <c r="W18" s="4"/>
      <c r="X18" s="22">
        <f t="shared" ref="X18:X29" si="6">+P18-T18</f>
        <v>-8733.7541486922419</v>
      </c>
      <c r="Y18" s="4"/>
      <c r="Z18" s="31">
        <f t="shared" ref="Z18:Z29" si="7">IF(T18=0,0,X18/T18)</f>
        <v>-2.4597817031934539E-2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15087.93</v>
      </c>
      <c r="E19" s="1"/>
      <c r="F19" s="5">
        <f t="shared" si="0"/>
        <v>0</v>
      </c>
      <c r="G19" s="1"/>
      <c r="H19" s="1">
        <f>SUM(OSRRefH22_0x_0)</f>
        <v>8267.9989085000016</v>
      </c>
      <c r="I19" s="1"/>
      <c r="J19" s="5">
        <f t="shared" si="1"/>
        <v>0</v>
      </c>
      <c r="K19" s="1"/>
      <c r="L19" s="1">
        <f t="shared" si="2"/>
        <v>6819.9310914999987</v>
      </c>
      <c r="M19" s="1"/>
      <c r="N19" s="5">
        <f t="shared" si="3"/>
        <v>0.82485873147475841</v>
      </c>
      <c r="O19" s="14"/>
      <c r="P19" s="1">
        <f>SUM(OSRRefP22_0x_0)</f>
        <v>28111.699999999997</v>
      </c>
      <c r="Q19" s="1"/>
      <c r="R19" s="5">
        <f t="shared" si="4"/>
        <v>0</v>
      </c>
      <c r="S19" s="1"/>
      <c r="T19" s="1">
        <f>SUM(OSRRefT22_0x_0)</f>
        <v>16835.059841000009</v>
      </c>
      <c r="U19" s="1"/>
      <c r="V19" s="5">
        <f t="shared" si="5"/>
        <v>0</v>
      </c>
      <c r="W19" s="1"/>
      <c r="X19" s="1">
        <f t="shared" si="6"/>
        <v>11276.640158999988</v>
      </c>
      <c r="Y19" s="1"/>
      <c r="Z19" s="5">
        <f t="shared" si="7"/>
        <v>0.66983071432493058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4189.24</v>
      </c>
      <c r="E20" s="2"/>
      <c r="F20" s="7">
        <f t="shared" si="0"/>
        <v>0</v>
      </c>
      <c r="G20" s="2"/>
      <c r="H20" s="6">
        <v>2796.1492358076898</v>
      </c>
      <c r="I20" s="2"/>
      <c r="J20" s="7">
        <f t="shared" si="1"/>
        <v>0</v>
      </c>
      <c r="K20" s="2"/>
      <c r="L20" s="6">
        <f t="shared" si="2"/>
        <v>1393.09076419231</v>
      </c>
      <c r="M20" s="2"/>
      <c r="N20" s="7">
        <f t="shared" si="3"/>
        <v>0.49821760096073864</v>
      </c>
      <c r="O20" s="11"/>
      <c r="P20" s="6">
        <v>7208.73</v>
      </c>
      <c r="Q20" s="2"/>
      <c r="R20" s="7">
        <f t="shared" si="4"/>
        <v>0</v>
      </c>
      <c r="S20" s="2"/>
      <c r="T20" s="6">
        <v>6760.2016086923104</v>
      </c>
      <c r="U20" s="2"/>
      <c r="V20" s="7">
        <f t="shared" si="5"/>
        <v>0</v>
      </c>
      <c r="W20" s="2"/>
      <c r="X20" s="6">
        <f t="shared" si="6"/>
        <v>448.52839130768916</v>
      </c>
      <c r="Y20" s="2"/>
      <c r="Z20" s="7">
        <f t="shared" si="7"/>
        <v>6.6348374984995781E-2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854.3</v>
      </c>
      <c r="E21" s="2"/>
      <c r="F21" s="7">
        <f t="shared" si="0"/>
        <v>0</v>
      </c>
      <c r="G21" s="2"/>
      <c r="H21" s="6">
        <v>1186.4602199999999</v>
      </c>
      <c r="I21" s="2"/>
      <c r="J21" s="7">
        <f t="shared" si="1"/>
        <v>0</v>
      </c>
      <c r="K21" s="2"/>
      <c r="L21" s="6">
        <f t="shared" si="2"/>
        <v>-332.16021999999998</v>
      </c>
      <c r="M21" s="2"/>
      <c r="N21" s="7">
        <f t="shared" si="3"/>
        <v>-0.27995900275527147</v>
      </c>
      <c r="O21" s="11"/>
      <c r="P21" s="6">
        <v>1459.44</v>
      </c>
      <c r="Q21" s="2"/>
      <c r="R21" s="7">
        <f t="shared" si="4"/>
        <v>0</v>
      </c>
      <c r="S21" s="2"/>
      <c r="T21" s="6">
        <v>1994.4991199999999</v>
      </c>
      <c r="U21" s="2"/>
      <c r="V21" s="7">
        <f t="shared" si="5"/>
        <v>0</v>
      </c>
      <c r="W21" s="2"/>
      <c r="X21" s="6">
        <f t="shared" si="6"/>
        <v>-535.05911999999989</v>
      </c>
      <c r="Y21" s="2"/>
      <c r="Z21" s="7">
        <f t="shared" si="7"/>
        <v>-0.26826741342457944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5081.28</v>
      </c>
      <c r="E22" s="2"/>
      <c r="F22" s="7">
        <f t="shared" si="0"/>
        <v>0</v>
      </c>
      <c r="G22" s="2"/>
      <c r="H22" s="6">
        <v>1303</v>
      </c>
      <c r="I22" s="2"/>
      <c r="J22" s="7">
        <f t="shared" si="1"/>
        <v>0</v>
      </c>
      <c r="K22" s="2"/>
      <c r="L22" s="6">
        <f t="shared" si="2"/>
        <v>3778.2799999999997</v>
      </c>
      <c r="M22" s="2"/>
      <c r="N22" s="7">
        <f t="shared" si="3"/>
        <v>2.8996776669224862</v>
      </c>
      <c r="O22" s="11"/>
      <c r="P22" s="6">
        <v>10162.56</v>
      </c>
      <c r="Q22" s="2"/>
      <c r="R22" s="7">
        <f t="shared" si="4"/>
        <v>0</v>
      </c>
      <c r="S22" s="2"/>
      <c r="T22" s="6">
        <v>2759</v>
      </c>
      <c r="U22" s="2"/>
      <c r="V22" s="7">
        <f t="shared" si="5"/>
        <v>0</v>
      </c>
      <c r="W22" s="2"/>
      <c r="X22" s="6">
        <f t="shared" si="6"/>
        <v>7403.5599999999995</v>
      </c>
      <c r="Y22" s="2"/>
      <c r="Z22" s="7">
        <f t="shared" si="7"/>
        <v>2.6834215295396882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153.36000000000001</v>
      </c>
      <c r="E23" s="2"/>
      <c r="F23" s="7">
        <f t="shared" si="0"/>
        <v>0</v>
      </c>
      <c r="G23" s="2"/>
      <c r="H23" s="6">
        <v>159.715798846154</v>
      </c>
      <c r="I23" s="2"/>
      <c r="J23" s="7">
        <f t="shared" si="1"/>
        <v>0</v>
      </c>
      <c r="K23" s="2"/>
      <c r="L23" s="6">
        <f t="shared" si="2"/>
        <v>-6.3557988461539878</v>
      </c>
      <c r="M23" s="2"/>
      <c r="N23" s="7">
        <f t="shared" si="3"/>
        <v>-3.9794427928048631E-2</v>
      </c>
      <c r="O23" s="11"/>
      <c r="P23" s="6">
        <v>263.01</v>
      </c>
      <c r="Q23" s="2"/>
      <c r="R23" s="7">
        <f t="shared" si="4"/>
        <v>0</v>
      </c>
      <c r="S23" s="2"/>
      <c r="T23" s="6">
        <v>268.49026615384599</v>
      </c>
      <c r="U23" s="2"/>
      <c r="V23" s="7">
        <f t="shared" si="5"/>
        <v>0</v>
      </c>
      <c r="W23" s="2"/>
      <c r="X23" s="6">
        <f t="shared" si="6"/>
        <v>-5.4802661538460029</v>
      </c>
      <c r="Y23" s="2"/>
      <c r="Z23" s="7">
        <f t="shared" si="7"/>
        <v>-2.0411414657043055E-2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1518.86</v>
      </c>
      <c r="E24" s="2"/>
      <c r="F24" s="7">
        <f t="shared" si="0"/>
        <v>0</v>
      </c>
      <c r="G24" s="2"/>
      <c r="H24" s="6">
        <v>374.76153846153801</v>
      </c>
      <c r="I24" s="2"/>
      <c r="J24" s="7">
        <f t="shared" si="1"/>
        <v>0</v>
      </c>
      <c r="K24" s="2"/>
      <c r="L24" s="6">
        <f t="shared" si="2"/>
        <v>1144.0984615384618</v>
      </c>
      <c r="M24" s="2"/>
      <c r="N24" s="7">
        <f t="shared" si="3"/>
        <v>3.0528705433198593</v>
      </c>
      <c r="O24" s="11"/>
      <c r="P24" s="6">
        <v>3037.72</v>
      </c>
      <c r="Q24" s="2"/>
      <c r="R24" s="7">
        <f t="shared" si="4"/>
        <v>0</v>
      </c>
      <c r="S24" s="2"/>
      <c r="T24" s="6">
        <v>843.21346153846105</v>
      </c>
      <c r="U24" s="2"/>
      <c r="V24" s="7">
        <f t="shared" si="5"/>
        <v>0</v>
      </c>
      <c r="W24" s="2"/>
      <c r="X24" s="6">
        <f t="shared" si="6"/>
        <v>2194.5065384615386</v>
      </c>
      <c r="Y24" s="2"/>
      <c r="Z24" s="7">
        <f t="shared" si="7"/>
        <v>2.6025515940620947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430.36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430.36</v>
      </c>
      <c r="M26" s="2"/>
      <c r="N26" s="7">
        <f t="shared" si="3"/>
        <v>0</v>
      </c>
      <c r="O26" s="11"/>
      <c r="P26" s="6">
        <v>729.6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729.6</v>
      </c>
      <c r="Y26" s="2"/>
      <c r="Z26" s="7">
        <f t="shared" si="7"/>
        <v>0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6">
        <v>1367.23</v>
      </c>
      <c r="E27" s="2"/>
      <c r="F27" s="7">
        <f t="shared" si="0"/>
        <v>0</v>
      </c>
      <c r="G27" s="2"/>
      <c r="H27" s="6">
        <v>249.386769230769</v>
      </c>
      <c r="I27" s="2"/>
      <c r="J27" s="7">
        <f t="shared" si="1"/>
        <v>0</v>
      </c>
      <c r="K27" s="2"/>
      <c r="L27" s="6">
        <f t="shared" si="2"/>
        <v>1117.843230769231</v>
      </c>
      <c r="M27" s="2"/>
      <c r="N27" s="7">
        <f t="shared" si="3"/>
        <v>4.4823678265579501</v>
      </c>
      <c r="O27" s="11"/>
      <c r="P27" s="6">
        <v>2535.52</v>
      </c>
      <c r="Q27" s="2"/>
      <c r="R27" s="7">
        <f t="shared" si="4"/>
        <v>0</v>
      </c>
      <c r="S27" s="2"/>
      <c r="T27" s="6">
        <v>561.12023076923094</v>
      </c>
      <c r="U27" s="2"/>
      <c r="V27" s="7">
        <f t="shared" si="5"/>
        <v>0</v>
      </c>
      <c r="W27" s="2"/>
      <c r="X27" s="6">
        <f t="shared" si="6"/>
        <v>1974.3997692307689</v>
      </c>
      <c r="Y27" s="2"/>
      <c r="Z27" s="7">
        <f t="shared" si="7"/>
        <v>3.5186750734759555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6">
        <v>955.23</v>
      </c>
      <c r="E28" s="2"/>
      <c r="F28" s="7">
        <f t="shared" si="0"/>
        <v>0</v>
      </c>
      <c r="G28" s="2"/>
      <c r="H28" s="6">
        <v>2198.52534615385</v>
      </c>
      <c r="I28" s="2"/>
      <c r="J28" s="7">
        <f t="shared" si="1"/>
        <v>0</v>
      </c>
      <c r="K28" s="2"/>
      <c r="L28" s="6">
        <f t="shared" si="2"/>
        <v>-1243.29534615385</v>
      </c>
      <c r="M28" s="2"/>
      <c r="N28" s="7">
        <f t="shared" si="3"/>
        <v>-0.56551331024174867</v>
      </c>
      <c r="O28" s="11"/>
      <c r="P28" s="6">
        <v>1910.46</v>
      </c>
      <c r="Q28" s="2"/>
      <c r="R28" s="7">
        <f t="shared" si="4"/>
        <v>0</v>
      </c>
      <c r="S28" s="2"/>
      <c r="T28" s="6">
        <v>3648.53515384616</v>
      </c>
      <c r="U28" s="2"/>
      <c r="V28" s="7">
        <f t="shared" si="5"/>
        <v>0</v>
      </c>
      <c r="W28" s="2"/>
      <c r="X28" s="6">
        <f t="shared" si="6"/>
        <v>-1738.07515384616</v>
      </c>
      <c r="Y28" s="2"/>
      <c r="Z28" s="7">
        <f t="shared" si="7"/>
        <v>-0.47637615661012367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6">
        <v>538.07000000000005</v>
      </c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538.07000000000005</v>
      </c>
      <c r="M29" s="2"/>
      <c r="N29" s="7">
        <f t="shared" si="3"/>
        <v>0</v>
      </c>
      <c r="O29" s="11"/>
      <c r="P29" s="6">
        <v>804.66</v>
      </c>
      <c r="Q29" s="2"/>
      <c r="R29" s="7">
        <f t="shared" si="4"/>
        <v>0</v>
      </c>
      <c r="S29" s="2"/>
      <c r="T29" s="6"/>
      <c r="U29" s="2"/>
      <c r="V29" s="7">
        <f t="shared" si="5"/>
        <v>0</v>
      </c>
      <c r="W29" s="2"/>
      <c r="X29" s="6">
        <f t="shared" si="6"/>
        <v>804.66</v>
      </c>
      <c r="Y29" s="2"/>
      <c r="Z29" s="7">
        <f t="shared" si="7"/>
        <v>0</v>
      </c>
    </row>
    <row r="30" spans="1:26" s="28" customFormat="1" outlineLevel="1" collapsed="1" x14ac:dyDescent="0.3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64285.560000000005</v>
      </c>
      <c r="E30" s="1"/>
      <c r="F30" s="5">
        <f t="shared" ref="F30:F40" si="8">IF(D$12=0,0,D30/D$12)</f>
        <v>0</v>
      </c>
      <c r="G30" s="1"/>
      <c r="H30" s="1">
        <f>SUM(OSRRefH22_1x_0)</f>
        <v>76178.392192307685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-11892.83219230768</v>
      </c>
      <c r="M30" s="1"/>
      <c r="N30" s="5">
        <f t="shared" ref="N30:N40" si="11">IF(H30=0,0,L30/H30)</f>
        <v>-0.1561181832544451</v>
      </c>
      <c r="O30" s="14"/>
      <c r="P30" s="1">
        <f>SUM(OSRRefP22_1x_0)</f>
        <v>119478.53</v>
      </c>
      <c r="Q30" s="1"/>
      <c r="R30" s="5">
        <f t="shared" ref="R30:R40" si="12">IF(P$12=0,0,P30/P$12)</f>
        <v>0</v>
      </c>
      <c r="S30" s="1"/>
      <c r="T30" s="1">
        <f>SUM(OSRRefT22_1x_0)</f>
        <v>127697.10430769231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-8218.57430769231</v>
      </c>
      <c r="Y30" s="1"/>
      <c r="Z30" s="5">
        <f t="shared" ref="Z30:Z40" si="15">IF(T30=0,0,X30/T30)</f>
        <v>-6.4359911309259291E-2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4479.1000000000004</v>
      </c>
      <c r="E31" s="2"/>
      <c r="F31" s="7">
        <f t="shared" si="8"/>
        <v>0</v>
      </c>
      <c r="G31" s="2"/>
      <c r="H31" s="6">
        <v>4139.8076923076896</v>
      </c>
      <c r="I31" s="2"/>
      <c r="J31" s="7">
        <f t="shared" si="9"/>
        <v>0</v>
      </c>
      <c r="K31" s="2"/>
      <c r="L31" s="6">
        <f t="shared" si="10"/>
        <v>339.29230769231071</v>
      </c>
      <c r="M31" s="2"/>
      <c r="N31" s="7">
        <f t="shared" si="11"/>
        <v>8.1958470757653959E-2</v>
      </c>
      <c r="O31" s="11"/>
      <c r="P31" s="6">
        <v>10078.200000000001</v>
      </c>
      <c r="Q31" s="2"/>
      <c r="R31" s="7">
        <f t="shared" si="12"/>
        <v>0</v>
      </c>
      <c r="S31" s="2"/>
      <c r="T31" s="6">
        <v>9314.5673076923104</v>
      </c>
      <c r="U31" s="2"/>
      <c r="V31" s="7">
        <f t="shared" si="13"/>
        <v>0</v>
      </c>
      <c r="W31" s="2"/>
      <c r="X31" s="6">
        <f t="shared" si="14"/>
        <v>763.63269230769038</v>
      </c>
      <c r="Y31" s="2"/>
      <c r="Z31" s="7">
        <f t="shared" si="15"/>
        <v>8.1982626469085107E-2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6">
        <v>8600.02</v>
      </c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8600.02</v>
      </c>
      <c r="M32" s="2"/>
      <c r="N32" s="7">
        <f t="shared" si="11"/>
        <v>0</v>
      </c>
      <c r="O32" s="11"/>
      <c r="P32" s="6">
        <v>22015.66</v>
      </c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22015.66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6">
        <v>4938.75</v>
      </c>
      <c r="E34" s="2"/>
      <c r="F34" s="7">
        <f t="shared" si="8"/>
        <v>0</v>
      </c>
      <c r="G34" s="2"/>
      <c r="H34" s="6">
        <v>8115.4319999999998</v>
      </c>
      <c r="I34" s="2"/>
      <c r="J34" s="7">
        <f t="shared" si="9"/>
        <v>0</v>
      </c>
      <c r="K34" s="2"/>
      <c r="L34" s="6">
        <f t="shared" si="10"/>
        <v>-3176.6819999999998</v>
      </c>
      <c r="M34" s="2"/>
      <c r="N34" s="7">
        <f t="shared" si="11"/>
        <v>-0.39143720260363218</v>
      </c>
      <c r="O34" s="11"/>
      <c r="P34" s="6">
        <v>8493.25</v>
      </c>
      <c r="Q34" s="2"/>
      <c r="R34" s="7">
        <f t="shared" si="12"/>
        <v>0</v>
      </c>
      <c r="S34" s="2"/>
      <c r="T34" s="6">
        <v>18259.722000000002</v>
      </c>
      <c r="U34" s="2"/>
      <c r="V34" s="7">
        <f t="shared" si="13"/>
        <v>0</v>
      </c>
      <c r="W34" s="2"/>
      <c r="X34" s="6">
        <f t="shared" si="14"/>
        <v>-9766.4720000000016</v>
      </c>
      <c r="Y34" s="2"/>
      <c r="Z34" s="7">
        <f t="shared" si="15"/>
        <v>-0.53486422191969851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3175.05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3175.05</v>
      </c>
      <c r="M35" s="2"/>
      <c r="N35" s="7">
        <f t="shared" si="11"/>
        <v>0</v>
      </c>
      <c r="O35" s="11"/>
      <c r="P35" s="6">
        <v>5379.29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5379.29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"6006", " - ", "TEMPORARY PART TIME")</f>
        <v xml:space="preserve">          6006 - TEMPORARY PART TIME</v>
      </c>
      <c r="C36" s="11"/>
      <c r="D36" s="6">
        <v>3273.79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3273.79</v>
      </c>
      <c r="M36" s="2"/>
      <c r="N36" s="7">
        <f t="shared" si="11"/>
        <v>0</v>
      </c>
      <c r="O36" s="11"/>
      <c r="P36" s="6">
        <v>6138.19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6138.19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"6007", " - ", "STUDENT HOURLY")</f>
        <v xml:space="preserve">          6007 - STUDENT HOURLY</v>
      </c>
      <c r="C37" s="11"/>
      <c r="D37" s="6">
        <v>36397.11</v>
      </c>
      <c r="E37" s="2"/>
      <c r="F37" s="7">
        <f t="shared" si="8"/>
        <v>0</v>
      </c>
      <c r="G37" s="2"/>
      <c r="H37" s="6">
        <v>24009.467499999999</v>
      </c>
      <c r="I37" s="2"/>
      <c r="J37" s="7">
        <f t="shared" si="9"/>
        <v>0</v>
      </c>
      <c r="K37" s="2"/>
      <c r="L37" s="6">
        <f t="shared" si="10"/>
        <v>12387.642500000002</v>
      </c>
      <c r="M37" s="2"/>
      <c r="N37" s="7">
        <f t="shared" si="11"/>
        <v>0.51594824000157447</v>
      </c>
      <c r="O37" s="11"/>
      <c r="P37" s="6">
        <v>61986.04</v>
      </c>
      <c r="Q37" s="2"/>
      <c r="R37" s="7">
        <f t="shared" si="12"/>
        <v>0</v>
      </c>
      <c r="S37" s="2"/>
      <c r="T37" s="6">
        <v>60209.13</v>
      </c>
      <c r="U37" s="2"/>
      <c r="V37" s="7">
        <f t="shared" si="13"/>
        <v>0</v>
      </c>
      <c r="W37" s="2"/>
      <c r="X37" s="6">
        <f t="shared" si="14"/>
        <v>1776.9100000000035</v>
      </c>
      <c r="Y37" s="2"/>
      <c r="Z37" s="7">
        <f t="shared" si="15"/>
        <v>2.9512301539650274E-2</v>
      </c>
    </row>
    <row r="38" spans="1:26" s="24" customFormat="1" hidden="1" outlineLevel="2" x14ac:dyDescent="0.3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>
        <v>3421.74</v>
      </c>
      <c r="E38" s="2"/>
      <c r="F38" s="7">
        <f t="shared" si="8"/>
        <v>0</v>
      </c>
      <c r="G38" s="2"/>
      <c r="H38" s="6">
        <v>39913.684999999998</v>
      </c>
      <c r="I38" s="2"/>
      <c r="J38" s="7">
        <f t="shared" si="9"/>
        <v>0</v>
      </c>
      <c r="K38" s="2"/>
      <c r="L38" s="6">
        <f t="shared" si="10"/>
        <v>-36491.945</v>
      </c>
      <c r="M38" s="2"/>
      <c r="N38" s="7">
        <f t="shared" si="11"/>
        <v>-0.9142715086316886</v>
      </c>
      <c r="O38" s="11"/>
      <c r="P38" s="6">
        <v>5387.9</v>
      </c>
      <c r="Q38" s="2"/>
      <c r="R38" s="7">
        <f t="shared" si="12"/>
        <v>0</v>
      </c>
      <c r="S38" s="2"/>
      <c r="T38" s="6">
        <v>39913.684999999998</v>
      </c>
      <c r="U38" s="2"/>
      <c r="V38" s="7">
        <f t="shared" si="13"/>
        <v>0</v>
      </c>
      <c r="W38" s="2"/>
      <c r="X38" s="6">
        <f t="shared" si="14"/>
        <v>-34525.784999999996</v>
      </c>
      <c r="Y38" s="2"/>
      <c r="Z38" s="7">
        <f t="shared" si="15"/>
        <v>-0.86501121106708134</v>
      </c>
    </row>
    <row r="39" spans="1:26" s="24" customFormat="1" hidden="1" outlineLevel="2" x14ac:dyDescent="0.3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3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8" customFormat="1" outlineLevel="1" collapsed="1" x14ac:dyDescent="0.3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160</v>
      </c>
      <c r="E41" s="1"/>
      <c r="F41" s="5">
        <f t="shared" ref="F41:F49" si="16">IF(D$12=0,0,D41/D$12)</f>
        <v>0</v>
      </c>
      <c r="G41" s="1"/>
      <c r="H41" s="1">
        <f>SUM(OSRRefH22_2x_0)</f>
        <v>0</v>
      </c>
      <c r="I41" s="1"/>
      <c r="J41" s="5">
        <f t="shared" ref="J41:J49" si="17">IF(H$12=0,0,H41/H$12)</f>
        <v>0</v>
      </c>
      <c r="K41" s="1"/>
      <c r="L41" s="1">
        <f t="shared" ref="L41:L49" si="18">+D41-H41</f>
        <v>160</v>
      </c>
      <c r="M41" s="1"/>
      <c r="N41" s="5">
        <f t="shared" ref="N41:N49" si="19">IF(H41=0,0,L41/H41)</f>
        <v>0</v>
      </c>
      <c r="O41" s="14"/>
      <c r="P41" s="1">
        <f>SUM(OSRRefP22_2x_0)</f>
        <v>160</v>
      </c>
      <c r="Q41" s="1"/>
      <c r="R41" s="5">
        <f t="shared" ref="R41:R49" si="20">IF(P$12=0,0,P41/P$12)</f>
        <v>0</v>
      </c>
      <c r="S41" s="1"/>
      <c r="T41" s="1">
        <f>SUM(OSRRefT22_2x_0)</f>
        <v>0</v>
      </c>
      <c r="U41" s="1"/>
      <c r="V41" s="5">
        <f t="shared" ref="V41:V49" si="21">IF(T$12=0,0,T41/T$12)</f>
        <v>0</v>
      </c>
      <c r="W41" s="1"/>
      <c r="X41" s="1">
        <f t="shared" ref="X41:X49" si="22">+P41-T41</f>
        <v>160</v>
      </c>
      <c r="Y41" s="1"/>
      <c r="Z41" s="5">
        <f t="shared" ref="Z41:Z49" si="23">IF(T41=0,0,X41/T41)</f>
        <v>0</v>
      </c>
    </row>
    <row r="42" spans="1:26" s="24" customFormat="1" hidden="1" outlineLevel="2" x14ac:dyDescent="0.3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160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160</v>
      </c>
      <c r="M42" s="2"/>
      <c r="N42" s="7">
        <f t="shared" si="19"/>
        <v>0</v>
      </c>
      <c r="O42" s="11"/>
      <c r="P42" s="6">
        <v>160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160</v>
      </c>
      <c r="Y42" s="2"/>
      <c r="Z42" s="7">
        <f t="shared" si="23"/>
        <v>0</v>
      </c>
    </row>
    <row r="43" spans="1:26" s="28" customFormat="1" outlineLevel="1" collapsed="1" x14ac:dyDescent="0.3">
      <c r="A43" s="29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152.35</v>
      </c>
      <c r="E43" s="1"/>
      <c r="F43" s="5">
        <f t="shared" si="16"/>
        <v>0</v>
      </c>
      <c r="G43" s="1"/>
      <c r="H43" s="1">
        <f>SUM(OSRRefH22_3x_0)</f>
        <v>200</v>
      </c>
      <c r="I43" s="1"/>
      <c r="J43" s="5">
        <f t="shared" si="17"/>
        <v>0</v>
      </c>
      <c r="K43" s="1"/>
      <c r="L43" s="1">
        <f t="shared" si="18"/>
        <v>-47.650000000000006</v>
      </c>
      <c r="M43" s="1"/>
      <c r="N43" s="5">
        <f t="shared" si="19"/>
        <v>-0.23825000000000002</v>
      </c>
      <c r="O43" s="14"/>
      <c r="P43" s="1">
        <f>SUM(OSRRefP22_3x_0)</f>
        <v>153.02000000000001</v>
      </c>
      <c r="Q43" s="1"/>
      <c r="R43" s="5">
        <f t="shared" si="20"/>
        <v>0</v>
      </c>
      <c r="S43" s="1"/>
      <c r="T43" s="1">
        <f>SUM(OSRRefT22_3x_0)</f>
        <v>400</v>
      </c>
      <c r="U43" s="1"/>
      <c r="V43" s="5">
        <f t="shared" si="21"/>
        <v>0</v>
      </c>
      <c r="W43" s="1"/>
      <c r="X43" s="1">
        <f t="shared" si="22"/>
        <v>-246.98</v>
      </c>
      <c r="Y43" s="1"/>
      <c r="Z43" s="5">
        <f t="shared" si="23"/>
        <v>-0.61744999999999994</v>
      </c>
    </row>
    <row r="44" spans="1:26" s="24" customFormat="1" hidden="1" outlineLevel="2" x14ac:dyDescent="0.3">
      <c r="A44" s="27"/>
      <c r="B44" s="11" t="str">
        <f>CONCATENATE("          ", "6272", " - ", "CASH (OVER/SHORT)")</f>
        <v xml:space="preserve">          6272 - CASH (OVER/SHORT)</v>
      </c>
      <c r="C44" s="11"/>
      <c r="D44" s="6">
        <v>152.35</v>
      </c>
      <c r="E44" s="2"/>
      <c r="F44" s="7">
        <f t="shared" si="16"/>
        <v>0</v>
      </c>
      <c r="G44" s="2"/>
      <c r="H44" s="6">
        <v>200</v>
      </c>
      <c r="I44" s="2"/>
      <c r="J44" s="7">
        <f t="shared" si="17"/>
        <v>0</v>
      </c>
      <c r="K44" s="2"/>
      <c r="L44" s="6">
        <f t="shared" si="18"/>
        <v>-47.650000000000006</v>
      </c>
      <c r="M44" s="2"/>
      <c r="N44" s="7">
        <f t="shared" si="19"/>
        <v>-0.23825000000000002</v>
      </c>
      <c r="O44" s="11"/>
      <c r="P44" s="6">
        <v>153.02000000000001</v>
      </c>
      <c r="Q44" s="2"/>
      <c r="R44" s="7">
        <f t="shared" si="20"/>
        <v>0</v>
      </c>
      <c r="S44" s="2"/>
      <c r="T44" s="6">
        <v>400</v>
      </c>
      <c r="U44" s="2"/>
      <c r="V44" s="7">
        <f t="shared" si="21"/>
        <v>0</v>
      </c>
      <c r="W44" s="2"/>
      <c r="X44" s="6">
        <f t="shared" si="22"/>
        <v>-246.98</v>
      </c>
      <c r="Y44" s="2"/>
      <c r="Z44" s="7">
        <f t="shared" si="23"/>
        <v>-0.61744999999999994</v>
      </c>
    </row>
    <row r="45" spans="1:26" s="28" customFormat="1" outlineLevel="1" collapsed="1" x14ac:dyDescent="0.3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22388.61</v>
      </c>
      <c r="E45" s="1"/>
      <c r="F45" s="5">
        <f t="shared" si="16"/>
        <v>0</v>
      </c>
      <c r="G45" s="1"/>
      <c r="H45" s="1">
        <f>SUM(OSRRefH22_4x_0)</f>
        <v>47000</v>
      </c>
      <c r="I45" s="1"/>
      <c r="J45" s="5">
        <f t="shared" si="17"/>
        <v>0</v>
      </c>
      <c r="K45" s="1"/>
      <c r="L45" s="1">
        <f t="shared" si="18"/>
        <v>-24611.39</v>
      </c>
      <c r="M45" s="1"/>
      <c r="N45" s="5">
        <f t="shared" si="19"/>
        <v>-0.52364659574468087</v>
      </c>
      <c r="O45" s="14"/>
      <c r="P45" s="1">
        <f>SUM(OSRRefP22_4x_0)</f>
        <v>25858.17</v>
      </c>
      <c r="Q45" s="1"/>
      <c r="R45" s="5">
        <f t="shared" si="20"/>
        <v>0</v>
      </c>
      <c r="S45" s="1"/>
      <c r="T45" s="1">
        <f>SUM(OSRRefT22_4x_0)</f>
        <v>57600</v>
      </c>
      <c r="U45" s="1"/>
      <c r="V45" s="5">
        <f t="shared" si="21"/>
        <v>0</v>
      </c>
      <c r="W45" s="1"/>
      <c r="X45" s="1">
        <f t="shared" si="22"/>
        <v>-31741.83</v>
      </c>
      <c r="Y45" s="1"/>
      <c r="Z45" s="5">
        <f t="shared" si="23"/>
        <v>-0.55107343750000004</v>
      </c>
    </row>
    <row r="46" spans="1:26" s="24" customFormat="1" hidden="1" outlineLevel="2" x14ac:dyDescent="0.3">
      <c r="A46" s="27"/>
      <c r="B46" s="11" t="str">
        <f>CONCATENATE("          ", "6381", " - ", "BANK/CREDIT CARD FEES")</f>
        <v xml:space="preserve">          6381 - BANK/CREDIT CARD FEES</v>
      </c>
      <c r="C46" s="11"/>
      <c r="D46" s="6">
        <v>22388.61</v>
      </c>
      <c r="E46" s="2"/>
      <c r="F46" s="7">
        <f t="shared" si="16"/>
        <v>0</v>
      </c>
      <c r="G46" s="2"/>
      <c r="H46" s="6">
        <v>47000</v>
      </c>
      <c r="I46" s="2"/>
      <c r="J46" s="7">
        <f t="shared" si="17"/>
        <v>0</v>
      </c>
      <c r="K46" s="2"/>
      <c r="L46" s="6">
        <f t="shared" si="18"/>
        <v>-24611.39</v>
      </c>
      <c r="M46" s="2"/>
      <c r="N46" s="7">
        <f t="shared" si="19"/>
        <v>-0.52364659574468087</v>
      </c>
      <c r="O46" s="11"/>
      <c r="P46" s="6">
        <v>25858.17</v>
      </c>
      <c r="Q46" s="2"/>
      <c r="R46" s="7">
        <f t="shared" si="20"/>
        <v>0</v>
      </c>
      <c r="S46" s="2"/>
      <c r="T46" s="6">
        <v>57600</v>
      </c>
      <c r="U46" s="2"/>
      <c r="V46" s="7">
        <f t="shared" si="21"/>
        <v>0</v>
      </c>
      <c r="W46" s="2"/>
      <c r="X46" s="6">
        <f t="shared" si="22"/>
        <v>-31741.83</v>
      </c>
      <c r="Y46" s="2"/>
      <c r="Z46" s="7">
        <f t="shared" si="23"/>
        <v>-0.55107343750000004</v>
      </c>
    </row>
    <row r="47" spans="1:26" s="28" customFormat="1" outlineLevel="1" collapsed="1" x14ac:dyDescent="0.3">
      <c r="A47" s="29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30550.800000000003</v>
      </c>
      <c r="E47" s="1"/>
      <c r="F47" s="5">
        <f t="shared" si="16"/>
        <v>0</v>
      </c>
      <c r="G47" s="1"/>
      <c r="H47" s="1">
        <f>SUM(OSRRefH22_5x_0)</f>
        <v>30430</v>
      </c>
      <c r="I47" s="1"/>
      <c r="J47" s="5">
        <f t="shared" si="17"/>
        <v>0</v>
      </c>
      <c r="K47" s="1"/>
      <c r="L47" s="1">
        <f t="shared" si="18"/>
        <v>120.80000000000291</v>
      </c>
      <c r="M47" s="1"/>
      <c r="N47" s="5">
        <f t="shared" si="19"/>
        <v>3.9697666776208644E-3</v>
      </c>
      <c r="O47" s="14"/>
      <c r="P47" s="1">
        <f>SUM(OSRRefP22_5x_0)</f>
        <v>61101.600000000006</v>
      </c>
      <c r="Q47" s="1"/>
      <c r="R47" s="5">
        <f t="shared" si="20"/>
        <v>0</v>
      </c>
      <c r="S47" s="1"/>
      <c r="T47" s="1">
        <f>SUM(OSRRefT22_5x_0)</f>
        <v>60860</v>
      </c>
      <c r="U47" s="1"/>
      <c r="V47" s="5">
        <f t="shared" si="21"/>
        <v>0</v>
      </c>
      <c r="W47" s="1"/>
      <c r="X47" s="1">
        <f t="shared" si="22"/>
        <v>241.60000000000582</v>
      </c>
      <c r="Y47" s="1"/>
      <c r="Z47" s="5">
        <f t="shared" si="23"/>
        <v>3.9697666776208644E-3</v>
      </c>
    </row>
    <row r="48" spans="1:26" s="24" customFormat="1" hidden="1" outlineLevel="2" x14ac:dyDescent="0.3">
      <c r="A48" s="27"/>
      <c r="B48" s="11" t="str">
        <f>CONCATENATE("          ", "6321", " - ", "BUILDING DEPRECIATION")</f>
        <v xml:space="preserve">          6321 - BUILDING DEPRECIATION</v>
      </c>
      <c r="C48" s="11"/>
      <c r="D48" s="6">
        <v>16396.52</v>
      </c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16396.52</v>
      </c>
      <c r="M48" s="2"/>
      <c r="N48" s="7">
        <f t="shared" si="19"/>
        <v>0</v>
      </c>
      <c r="O48" s="11"/>
      <c r="P48" s="6">
        <v>32793.040000000001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32793.040000000001</v>
      </c>
      <c r="Y48" s="2"/>
      <c r="Z48" s="7">
        <f t="shared" si="23"/>
        <v>0</v>
      </c>
    </row>
    <row r="49" spans="1:26" s="24" customFormat="1" hidden="1" outlineLevel="2" x14ac:dyDescent="0.3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14154.28</v>
      </c>
      <c r="E49" s="2"/>
      <c r="F49" s="7">
        <f t="shared" si="16"/>
        <v>0</v>
      </c>
      <c r="G49" s="2"/>
      <c r="H49" s="6">
        <v>30430</v>
      </c>
      <c r="I49" s="2"/>
      <c r="J49" s="7">
        <f t="shared" si="17"/>
        <v>0</v>
      </c>
      <c r="K49" s="2"/>
      <c r="L49" s="6">
        <f t="shared" si="18"/>
        <v>-16275.72</v>
      </c>
      <c r="M49" s="2"/>
      <c r="N49" s="7">
        <f t="shared" si="19"/>
        <v>-0.53485770621097595</v>
      </c>
      <c r="O49" s="11"/>
      <c r="P49" s="6">
        <v>28308.560000000001</v>
      </c>
      <c r="Q49" s="2"/>
      <c r="R49" s="7">
        <f t="shared" si="20"/>
        <v>0</v>
      </c>
      <c r="S49" s="2"/>
      <c r="T49" s="6">
        <v>60860</v>
      </c>
      <c r="U49" s="2"/>
      <c r="V49" s="7">
        <f t="shared" si="21"/>
        <v>0</v>
      </c>
      <c r="W49" s="2"/>
      <c r="X49" s="6">
        <f t="shared" si="22"/>
        <v>-32551.439999999999</v>
      </c>
      <c r="Y49" s="2"/>
      <c r="Z49" s="7">
        <f t="shared" si="23"/>
        <v>-0.53485770621097595</v>
      </c>
    </row>
    <row r="50" spans="1:26" s="28" customFormat="1" outlineLevel="1" collapsed="1" x14ac:dyDescent="0.3">
      <c r="A50" s="29"/>
      <c r="B50" s="14" t="str">
        <f>CONCATENATE("     ","Discounts and Markdowns                           ")</f>
        <v xml:space="preserve">     Discounts and Markdowns                           </v>
      </c>
      <c r="C50" s="14"/>
      <c r="D50" s="1">
        <f>SUM(OSRRefD22_6x_0)</f>
        <v>-21.81</v>
      </c>
      <c r="E50" s="1"/>
      <c r="F50" s="5">
        <f t="shared" ref="F50:F70" si="24">IF(D$12=0,0,D50/D$12)</f>
        <v>0</v>
      </c>
      <c r="G50" s="1"/>
      <c r="H50" s="1">
        <f>SUM(OSRRefH22_6x_0)</f>
        <v>0</v>
      </c>
      <c r="I50" s="1"/>
      <c r="J50" s="5">
        <f t="shared" ref="J50:J70" si="25">IF(H$12=0,0,H50/H$12)</f>
        <v>0</v>
      </c>
      <c r="K50" s="1"/>
      <c r="L50" s="1">
        <f t="shared" ref="L50:L70" si="26">+D50-H50</f>
        <v>-21.81</v>
      </c>
      <c r="M50" s="1"/>
      <c r="N50" s="5">
        <f t="shared" ref="N50:N70" si="27">IF(H50=0,0,L50/H50)</f>
        <v>0</v>
      </c>
      <c r="O50" s="14"/>
      <c r="P50" s="1">
        <f>SUM(OSRRefP22_6x_0)</f>
        <v>-22.49</v>
      </c>
      <c r="Q50" s="1"/>
      <c r="R50" s="5">
        <f t="shared" ref="R50:R70" si="28">IF(P$12=0,0,P50/P$12)</f>
        <v>0</v>
      </c>
      <c r="S50" s="1"/>
      <c r="T50" s="1">
        <f>SUM(OSRRefT22_6x_0)</f>
        <v>0</v>
      </c>
      <c r="U50" s="1"/>
      <c r="V50" s="5">
        <f t="shared" ref="V50:V70" si="29">IF(T$12=0,0,T50/T$12)</f>
        <v>0</v>
      </c>
      <c r="W50" s="1"/>
      <c r="X50" s="1">
        <f t="shared" ref="X50:X70" si="30">+P50-T50</f>
        <v>-22.49</v>
      </c>
      <c r="Y50" s="1"/>
      <c r="Z50" s="5">
        <f t="shared" ref="Z50:Z70" si="31">IF(T50=0,0,X50/T50)</f>
        <v>0</v>
      </c>
    </row>
    <row r="51" spans="1:26" s="24" customFormat="1" hidden="1" outlineLevel="2" x14ac:dyDescent="0.3">
      <c r="A51" s="27"/>
      <c r="B51" s="11" t="str">
        <f>CONCATENATE("          ", "9175", " - ", "EARNED DISCOUNTS")</f>
        <v xml:space="preserve">          9175 - EARNED DISCOUNTS</v>
      </c>
      <c r="C51" s="11"/>
      <c r="D51" s="6">
        <v>-21.81</v>
      </c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-21.81</v>
      </c>
      <c r="M51" s="2"/>
      <c r="N51" s="7">
        <f t="shared" si="27"/>
        <v>0</v>
      </c>
      <c r="O51" s="11"/>
      <c r="P51" s="6">
        <v>-22.49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-22.49</v>
      </c>
      <c r="Y51" s="2"/>
      <c r="Z51" s="7">
        <f t="shared" si="31"/>
        <v>0</v>
      </c>
    </row>
    <row r="52" spans="1:26" s="28" customFormat="1" outlineLevel="1" collapsed="1" x14ac:dyDescent="0.3">
      <c r="A52" s="29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SUM(OSRRefD22_7x_0)</f>
        <v>0</v>
      </c>
      <c r="E52" s="1"/>
      <c r="F52" s="5">
        <f t="shared" si="24"/>
        <v>0</v>
      </c>
      <c r="G52" s="1"/>
      <c r="H52" s="1">
        <f>SUM(OSRRefH22_7x_0)</f>
        <v>1250</v>
      </c>
      <c r="I52" s="1"/>
      <c r="J52" s="5">
        <f t="shared" si="25"/>
        <v>0</v>
      </c>
      <c r="K52" s="1"/>
      <c r="L52" s="1">
        <f t="shared" si="26"/>
        <v>-1250</v>
      </c>
      <c r="M52" s="1"/>
      <c r="N52" s="5">
        <f t="shared" si="27"/>
        <v>-1</v>
      </c>
      <c r="O52" s="14"/>
      <c r="P52" s="1">
        <f>SUM(OSRRefP22_7x_0)</f>
        <v>0</v>
      </c>
      <c r="Q52" s="1"/>
      <c r="R52" s="5">
        <f t="shared" si="28"/>
        <v>0</v>
      </c>
      <c r="S52" s="1"/>
      <c r="T52" s="1">
        <f>SUM(OSRRefT22_7x_0)</f>
        <v>2500</v>
      </c>
      <c r="U52" s="1"/>
      <c r="V52" s="5">
        <f t="shared" si="29"/>
        <v>0</v>
      </c>
      <c r="W52" s="1"/>
      <c r="X52" s="1">
        <f t="shared" si="30"/>
        <v>-2500</v>
      </c>
      <c r="Y52" s="1"/>
      <c r="Z52" s="5">
        <f t="shared" si="31"/>
        <v>-1</v>
      </c>
    </row>
    <row r="53" spans="1:26" s="24" customFormat="1" hidden="1" outlineLevel="2" x14ac:dyDescent="0.3">
      <c r="A53" s="27"/>
      <c r="B53" s="11" t="str">
        <f>CONCATENATE("          ", "6399", " - ", "DONATION-ON CAMPUS")</f>
        <v xml:space="preserve">          6399 - DONATION-ON CAMPUS</v>
      </c>
      <c r="C53" s="11"/>
      <c r="D53" s="6"/>
      <c r="E53" s="2"/>
      <c r="F53" s="7">
        <f t="shared" si="24"/>
        <v>0</v>
      </c>
      <c r="G53" s="2"/>
      <c r="H53" s="6">
        <v>1250</v>
      </c>
      <c r="I53" s="2"/>
      <c r="J53" s="7">
        <f t="shared" si="25"/>
        <v>0</v>
      </c>
      <c r="K53" s="2"/>
      <c r="L53" s="6">
        <f t="shared" si="26"/>
        <v>-1250</v>
      </c>
      <c r="M53" s="2"/>
      <c r="N53" s="7">
        <f t="shared" si="27"/>
        <v>-1</v>
      </c>
      <c r="O53" s="11"/>
      <c r="P53" s="6"/>
      <c r="Q53" s="2"/>
      <c r="R53" s="7">
        <f t="shared" si="28"/>
        <v>0</v>
      </c>
      <c r="S53" s="2"/>
      <c r="T53" s="6">
        <v>2500</v>
      </c>
      <c r="U53" s="2"/>
      <c r="V53" s="7">
        <f t="shared" si="29"/>
        <v>0</v>
      </c>
      <c r="W53" s="2"/>
      <c r="X53" s="6">
        <f t="shared" si="30"/>
        <v>-2500</v>
      </c>
      <c r="Y53" s="2"/>
      <c r="Z53" s="7">
        <f t="shared" si="31"/>
        <v>-1</v>
      </c>
    </row>
    <row r="54" spans="1:26" s="28" customFormat="1" outlineLevel="1" collapsed="1" x14ac:dyDescent="0.3">
      <c r="A54" s="29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SUM(OSRRefD22_8x_0)</f>
        <v>400</v>
      </c>
      <c r="E54" s="1"/>
      <c r="F54" s="5">
        <f t="shared" si="24"/>
        <v>0</v>
      </c>
      <c r="G54" s="1"/>
      <c r="H54" s="1">
        <f>SUM(OSRRefH22_8x_0)</f>
        <v>100</v>
      </c>
      <c r="I54" s="1"/>
      <c r="J54" s="5">
        <f t="shared" si="25"/>
        <v>0</v>
      </c>
      <c r="K54" s="1"/>
      <c r="L54" s="1">
        <f t="shared" si="26"/>
        <v>300</v>
      </c>
      <c r="M54" s="1"/>
      <c r="N54" s="5">
        <f t="shared" si="27"/>
        <v>3</v>
      </c>
      <c r="O54" s="14"/>
      <c r="P54" s="1">
        <f>SUM(OSRRefP22_8x_0)</f>
        <v>720.92</v>
      </c>
      <c r="Q54" s="1"/>
      <c r="R54" s="5">
        <f t="shared" si="28"/>
        <v>0</v>
      </c>
      <c r="S54" s="1"/>
      <c r="T54" s="1">
        <f>SUM(OSRRefT22_8x_0)</f>
        <v>200</v>
      </c>
      <c r="U54" s="1"/>
      <c r="V54" s="5">
        <f t="shared" si="29"/>
        <v>0</v>
      </c>
      <c r="W54" s="1"/>
      <c r="X54" s="1">
        <f t="shared" si="30"/>
        <v>520.91999999999996</v>
      </c>
      <c r="Y54" s="1"/>
      <c r="Z54" s="5">
        <f t="shared" si="31"/>
        <v>2.6045999999999996</v>
      </c>
    </row>
    <row r="55" spans="1:26" s="24" customFormat="1" hidden="1" outlineLevel="2" x14ac:dyDescent="0.3">
      <c r="A55" s="27"/>
      <c r="B55" s="11" t="str">
        <f>CONCATENATE("          ", "6277", " - ", "EMPLOYEE APPRECIATION")</f>
        <v xml:space="preserve">          6277 - EMPLOYEE APPRECIATION</v>
      </c>
      <c r="C55" s="11"/>
      <c r="D55" s="6">
        <v>400</v>
      </c>
      <c r="E55" s="2"/>
      <c r="F55" s="7">
        <f t="shared" si="24"/>
        <v>0</v>
      </c>
      <c r="G55" s="2"/>
      <c r="H55" s="6">
        <v>100</v>
      </c>
      <c r="I55" s="2"/>
      <c r="J55" s="7">
        <f t="shared" si="25"/>
        <v>0</v>
      </c>
      <c r="K55" s="2"/>
      <c r="L55" s="6">
        <f t="shared" si="26"/>
        <v>300</v>
      </c>
      <c r="M55" s="2"/>
      <c r="N55" s="7">
        <f t="shared" si="27"/>
        <v>3</v>
      </c>
      <c r="O55" s="11"/>
      <c r="P55" s="6">
        <v>720.92</v>
      </c>
      <c r="Q55" s="2"/>
      <c r="R55" s="7">
        <f t="shared" si="28"/>
        <v>0</v>
      </c>
      <c r="S55" s="2"/>
      <c r="T55" s="6">
        <v>200</v>
      </c>
      <c r="U55" s="2"/>
      <c r="V55" s="7">
        <f t="shared" si="29"/>
        <v>0</v>
      </c>
      <c r="W55" s="2"/>
      <c r="X55" s="6">
        <f t="shared" si="30"/>
        <v>520.91999999999996</v>
      </c>
      <c r="Y55" s="2"/>
      <c r="Z55" s="7">
        <f t="shared" si="31"/>
        <v>2.6045999999999996</v>
      </c>
    </row>
    <row r="56" spans="1:26" s="28" customFormat="1" outlineLevel="1" collapsed="1" x14ac:dyDescent="0.3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SUM(OSRRefD22_9x_0)</f>
        <v>1006.83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706.83</v>
      </c>
      <c r="M56" s="1"/>
      <c r="N56" s="5">
        <f t="shared" si="27"/>
        <v>2.3561000000000001</v>
      </c>
      <c r="O56" s="14"/>
      <c r="P56" s="1">
        <f>SUM(OSRRefP22_9x_0)</f>
        <v>1098.0899999999999</v>
      </c>
      <c r="Q56" s="1"/>
      <c r="R56" s="5">
        <f t="shared" si="28"/>
        <v>0</v>
      </c>
      <c r="S56" s="1"/>
      <c r="T56" s="1">
        <f>SUM(OSRRefT22_9x_0)</f>
        <v>600</v>
      </c>
      <c r="U56" s="1"/>
      <c r="V56" s="5">
        <f t="shared" si="29"/>
        <v>0</v>
      </c>
      <c r="W56" s="1"/>
      <c r="X56" s="1">
        <f t="shared" si="30"/>
        <v>498.08999999999992</v>
      </c>
      <c r="Y56" s="1"/>
      <c r="Z56" s="5">
        <f t="shared" si="31"/>
        <v>0.83014999999999983</v>
      </c>
    </row>
    <row r="57" spans="1:26" s="24" customFormat="1" hidden="1" outlineLevel="2" x14ac:dyDescent="0.3">
      <c r="A57" s="27"/>
      <c r="B57" s="11" t="str">
        <f>CONCATENATE("          ", "6351", " - ", "EQUIPMENT RENTAL")</f>
        <v xml:space="preserve">          6351 - EQUIPMENT RENTAL</v>
      </c>
      <c r="C57" s="11"/>
      <c r="D57" s="6">
        <v>1006.83</v>
      </c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706.83</v>
      </c>
      <c r="M57" s="2"/>
      <c r="N57" s="7">
        <f t="shared" si="27"/>
        <v>2.3561000000000001</v>
      </c>
      <c r="O57" s="11"/>
      <c r="P57" s="6">
        <v>1098.0899999999999</v>
      </c>
      <c r="Q57" s="2"/>
      <c r="R57" s="7">
        <f t="shared" si="28"/>
        <v>0</v>
      </c>
      <c r="S57" s="2"/>
      <c r="T57" s="6">
        <v>600</v>
      </c>
      <c r="U57" s="2"/>
      <c r="V57" s="7">
        <f t="shared" si="29"/>
        <v>0</v>
      </c>
      <c r="W57" s="2"/>
      <c r="X57" s="6">
        <f t="shared" si="30"/>
        <v>498.08999999999992</v>
      </c>
      <c r="Y57" s="2"/>
      <c r="Z57" s="7">
        <f t="shared" si="31"/>
        <v>0.83014999999999983</v>
      </c>
    </row>
    <row r="58" spans="1:26" s="28" customFormat="1" outlineLevel="1" collapsed="1" x14ac:dyDescent="0.3">
      <c r="A58" s="29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SUM(OSRRefD22_10x_0)</f>
        <v>615.95000000000005</v>
      </c>
      <c r="E58" s="1"/>
      <c r="F58" s="5">
        <f t="shared" si="24"/>
        <v>0</v>
      </c>
      <c r="G58" s="1"/>
      <c r="H58" s="1">
        <f>SUM(OSRRefH22_10x_0)</f>
        <v>100</v>
      </c>
      <c r="I58" s="1"/>
      <c r="J58" s="5">
        <f t="shared" si="25"/>
        <v>0</v>
      </c>
      <c r="K58" s="1"/>
      <c r="L58" s="1">
        <f t="shared" si="26"/>
        <v>515.95000000000005</v>
      </c>
      <c r="M58" s="1"/>
      <c r="N58" s="5">
        <f t="shared" si="27"/>
        <v>5.1595000000000004</v>
      </c>
      <c r="O58" s="14"/>
      <c r="P58" s="1">
        <f>SUM(OSRRefP22_10x_0)</f>
        <v>931.9</v>
      </c>
      <c r="Q58" s="1"/>
      <c r="R58" s="5">
        <f t="shared" si="28"/>
        <v>0</v>
      </c>
      <c r="S58" s="1"/>
      <c r="T58" s="1">
        <f>SUM(OSRRefT22_10x_0)</f>
        <v>200</v>
      </c>
      <c r="U58" s="1"/>
      <c r="V58" s="5">
        <f t="shared" si="29"/>
        <v>0</v>
      </c>
      <c r="W58" s="1"/>
      <c r="X58" s="1">
        <f t="shared" si="30"/>
        <v>731.9</v>
      </c>
      <c r="Y58" s="1"/>
      <c r="Z58" s="5">
        <f t="shared" si="31"/>
        <v>3.6595</v>
      </c>
    </row>
    <row r="59" spans="1:26" s="24" customFormat="1" hidden="1" outlineLevel="2" x14ac:dyDescent="0.3">
      <c r="A59" s="27"/>
      <c r="B59" s="11" t="str">
        <f>CONCATENATE("          ", "6307", " - ", "POSTAGE")</f>
        <v xml:space="preserve">          6307 - POSTAGE</v>
      </c>
      <c r="C59" s="11"/>
      <c r="D59" s="6">
        <v>615.95000000000005</v>
      </c>
      <c r="E59" s="2"/>
      <c r="F59" s="7">
        <f t="shared" si="24"/>
        <v>0</v>
      </c>
      <c r="G59" s="2"/>
      <c r="H59" s="6">
        <v>100</v>
      </c>
      <c r="I59" s="2"/>
      <c r="J59" s="7">
        <f t="shared" si="25"/>
        <v>0</v>
      </c>
      <c r="K59" s="2"/>
      <c r="L59" s="6">
        <f t="shared" si="26"/>
        <v>515.95000000000005</v>
      </c>
      <c r="M59" s="2"/>
      <c r="N59" s="7">
        <f t="shared" si="27"/>
        <v>5.1595000000000004</v>
      </c>
      <c r="O59" s="11"/>
      <c r="P59" s="6">
        <v>931.9</v>
      </c>
      <c r="Q59" s="2"/>
      <c r="R59" s="7">
        <f t="shared" si="28"/>
        <v>0</v>
      </c>
      <c r="S59" s="2"/>
      <c r="T59" s="6">
        <v>200</v>
      </c>
      <c r="U59" s="2"/>
      <c r="V59" s="7">
        <f t="shared" si="29"/>
        <v>0</v>
      </c>
      <c r="W59" s="2"/>
      <c r="X59" s="6">
        <f t="shared" si="30"/>
        <v>731.9</v>
      </c>
      <c r="Y59" s="2"/>
      <c r="Z59" s="7">
        <f t="shared" si="31"/>
        <v>3.6595</v>
      </c>
    </row>
    <row r="60" spans="1:26" s="28" customFormat="1" outlineLevel="1" collapsed="1" x14ac:dyDescent="0.3">
      <c r="A60" s="29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SUM(OSRRefD22_11x_0)</f>
        <v>769.25</v>
      </c>
      <c r="E60" s="1"/>
      <c r="F60" s="5">
        <f t="shared" si="24"/>
        <v>0</v>
      </c>
      <c r="G60" s="1"/>
      <c r="H60" s="1">
        <f>SUM(OSRRefH22_11x_0)</f>
        <v>200</v>
      </c>
      <c r="I60" s="1"/>
      <c r="J60" s="5">
        <f t="shared" si="25"/>
        <v>0</v>
      </c>
      <c r="K60" s="1"/>
      <c r="L60" s="1">
        <f t="shared" si="26"/>
        <v>569.25</v>
      </c>
      <c r="M60" s="1"/>
      <c r="N60" s="5">
        <f t="shared" si="27"/>
        <v>2.8462499999999999</v>
      </c>
      <c r="O60" s="14"/>
      <c r="P60" s="1">
        <f>SUM(OSRRefP22_11x_0)</f>
        <v>1547.25</v>
      </c>
      <c r="Q60" s="1"/>
      <c r="R60" s="5">
        <f t="shared" si="28"/>
        <v>0</v>
      </c>
      <c r="S60" s="1"/>
      <c r="T60" s="1">
        <f>SUM(OSRRefT22_11x_0)</f>
        <v>400</v>
      </c>
      <c r="U60" s="1"/>
      <c r="V60" s="5">
        <f t="shared" si="29"/>
        <v>0</v>
      </c>
      <c r="W60" s="1"/>
      <c r="X60" s="1">
        <f t="shared" si="30"/>
        <v>1147.25</v>
      </c>
      <c r="Y60" s="1"/>
      <c r="Z60" s="5">
        <f t="shared" si="31"/>
        <v>2.868125</v>
      </c>
    </row>
    <row r="61" spans="1:26" s="24" customFormat="1" hidden="1" outlineLevel="2" x14ac:dyDescent="0.3">
      <c r="A61" s="27"/>
      <c r="B61" s="11" t="str">
        <f>CONCATENATE("          ", "6279", " - ", "GENERAL EXPENSE")</f>
        <v xml:space="preserve">          6279 - GENERAL EXPENSE</v>
      </c>
      <c r="C61" s="11"/>
      <c r="D61" s="6">
        <v>769.25</v>
      </c>
      <c r="E61" s="2"/>
      <c r="F61" s="7">
        <f t="shared" si="24"/>
        <v>0</v>
      </c>
      <c r="G61" s="2"/>
      <c r="H61" s="6">
        <v>200</v>
      </c>
      <c r="I61" s="2"/>
      <c r="J61" s="7">
        <f t="shared" si="25"/>
        <v>0</v>
      </c>
      <c r="K61" s="2"/>
      <c r="L61" s="6">
        <f t="shared" si="26"/>
        <v>569.25</v>
      </c>
      <c r="M61" s="2"/>
      <c r="N61" s="7">
        <f t="shared" si="27"/>
        <v>2.8462499999999999</v>
      </c>
      <c r="O61" s="11"/>
      <c r="P61" s="6">
        <v>1547.25</v>
      </c>
      <c r="Q61" s="2"/>
      <c r="R61" s="7">
        <f t="shared" si="28"/>
        <v>0</v>
      </c>
      <c r="S61" s="2"/>
      <c r="T61" s="6">
        <v>400</v>
      </c>
      <c r="U61" s="2"/>
      <c r="V61" s="7">
        <f t="shared" si="29"/>
        <v>0</v>
      </c>
      <c r="W61" s="2"/>
      <c r="X61" s="6">
        <f t="shared" si="30"/>
        <v>1147.25</v>
      </c>
      <c r="Y61" s="2"/>
      <c r="Z61" s="7">
        <f t="shared" si="31"/>
        <v>2.868125</v>
      </c>
    </row>
    <row r="62" spans="1:26" s="28" customFormat="1" outlineLevel="1" collapsed="1" x14ac:dyDescent="0.3">
      <c r="A62" s="29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SUM(OSRRefD22_12x_0)</f>
        <v>5275.49</v>
      </c>
      <c r="E62" s="1"/>
      <c r="F62" s="5">
        <f t="shared" si="24"/>
        <v>0</v>
      </c>
      <c r="G62" s="1"/>
      <c r="H62" s="1">
        <f>SUM(OSRRefH22_12x_0)</f>
        <v>5200</v>
      </c>
      <c r="I62" s="1"/>
      <c r="J62" s="5">
        <f t="shared" si="25"/>
        <v>0</v>
      </c>
      <c r="K62" s="1"/>
      <c r="L62" s="1">
        <f t="shared" si="26"/>
        <v>75.489999999999782</v>
      </c>
      <c r="M62" s="1"/>
      <c r="N62" s="5">
        <f t="shared" si="27"/>
        <v>1.4517307692307651E-2</v>
      </c>
      <c r="O62" s="14"/>
      <c r="P62" s="1">
        <f>SUM(OSRRefP22_12x_0)</f>
        <v>10550.98</v>
      </c>
      <c r="Q62" s="1"/>
      <c r="R62" s="5">
        <f t="shared" si="28"/>
        <v>0</v>
      </c>
      <c r="S62" s="1"/>
      <c r="T62" s="1">
        <f>SUM(OSRRefT22_12x_0)</f>
        <v>10400</v>
      </c>
      <c r="U62" s="1"/>
      <c r="V62" s="5">
        <f t="shared" si="29"/>
        <v>0</v>
      </c>
      <c r="W62" s="1"/>
      <c r="X62" s="1">
        <f t="shared" si="30"/>
        <v>150.97999999999956</v>
      </c>
      <c r="Y62" s="1"/>
      <c r="Z62" s="5">
        <f t="shared" si="31"/>
        <v>1.4517307692307651E-2</v>
      </c>
    </row>
    <row r="63" spans="1:26" s="24" customFormat="1" hidden="1" outlineLevel="2" x14ac:dyDescent="0.3">
      <c r="A63" s="27"/>
      <c r="B63" s="11" t="str">
        <f>CONCATENATE("          ", "6314", " - ", "LIABILITY INSURANCE")</f>
        <v xml:space="preserve">          6314 - LIABILITY INSURANCE</v>
      </c>
      <c r="C63" s="11"/>
      <c r="D63" s="6">
        <v>5275.49</v>
      </c>
      <c r="E63" s="2"/>
      <c r="F63" s="7">
        <f t="shared" si="24"/>
        <v>0</v>
      </c>
      <c r="G63" s="2"/>
      <c r="H63" s="6">
        <v>5200</v>
      </c>
      <c r="I63" s="2"/>
      <c r="J63" s="7">
        <f t="shared" si="25"/>
        <v>0</v>
      </c>
      <c r="K63" s="2"/>
      <c r="L63" s="6">
        <f t="shared" si="26"/>
        <v>75.489999999999782</v>
      </c>
      <c r="M63" s="2"/>
      <c r="N63" s="7">
        <f t="shared" si="27"/>
        <v>1.4517307692307651E-2</v>
      </c>
      <c r="O63" s="11"/>
      <c r="P63" s="6">
        <v>10550.98</v>
      </c>
      <c r="Q63" s="2"/>
      <c r="R63" s="7">
        <f t="shared" si="28"/>
        <v>0</v>
      </c>
      <c r="S63" s="2"/>
      <c r="T63" s="6">
        <v>10400</v>
      </c>
      <c r="U63" s="2"/>
      <c r="V63" s="7">
        <f t="shared" si="29"/>
        <v>0</v>
      </c>
      <c r="W63" s="2"/>
      <c r="X63" s="6">
        <f t="shared" si="30"/>
        <v>150.97999999999956</v>
      </c>
      <c r="Y63" s="2"/>
      <c r="Z63" s="7">
        <f t="shared" si="31"/>
        <v>1.4517307692307651E-2</v>
      </c>
    </row>
    <row r="64" spans="1:26" s="28" customFormat="1" outlineLevel="1" collapsed="1" x14ac:dyDescent="0.3">
      <c r="A64" s="29"/>
      <c r="B64" s="14" t="str">
        <f>CONCATENATE("     ","Rent                                              ")</f>
        <v xml:space="preserve">     Rent                                              </v>
      </c>
      <c r="C64" s="14"/>
      <c r="D64" s="1">
        <f>SUM(OSRRefD22_13x_0)</f>
        <v>-800</v>
      </c>
      <c r="E64" s="1"/>
      <c r="F64" s="5">
        <f t="shared" si="24"/>
        <v>0</v>
      </c>
      <c r="G64" s="1"/>
      <c r="H64" s="1">
        <f>SUM(OSRRefH22_13x_0)</f>
        <v>-800</v>
      </c>
      <c r="I64" s="1"/>
      <c r="J64" s="5">
        <f t="shared" si="25"/>
        <v>0</v>
      </c>
      <c r="K64" s="1"/>
      <c r="L64" s="1">
        <f t="shared" si="26"/>
        <v>0</v>
      </c>
      <c r="M64" s="1"/>
      <c r="N64" s="5">
        <f t="shared" si="27"/>
        <v>0</v>
      </c>
      <c r="O64" s="14"/>
      <c r="P64" s="1">
        <f>SUM(OSRRefP22_13x_0)</f>
        <v>-1600</v>
      </c>
      <c r="Q64" s="1"/>
      <c r="R64" s="5">
        <f t="shared" si="28"/>
        <v>0</v>
      </c>
      <c r="S64" s="1"/>
      <c r="T64" s="1">
        <f>SUM(OSRRefT22_13x_0)</f>
        <v>-1600</v>
      </c>
      <c r="U64" s="1"/>
      <c r="V64" s="5">
        <f t="shared" si="29"/>
        <v>0</v>
      </c>
      <c r="W64" s="1"/>
      <c r="X64" s="1">
        <f t="shared" si="30"/>
        <v>0</v>
      </c>
      <c r="Y64" s="1"/>
      <c r="Z64" s="5">
        <f t="shared" si="31"/>
        <v>0</v>
      </c>
    </row>
    <row r="65" spans="1:26" s="24" customFormat="1" hidden="1" outlineLevel="2" x14ac:dyDescent="0.3">
      <c r="A65" s="27"/>
      <c r="B65" s="11" t="str">
        <f>CONCATENATE("          ", "6273", " - ", "RENT")</f>
        <v xml:space="preserve">          6273 - RENT</v>
      </c>
      <c r="C65" s="11"/>
      <c r="D65" s="6">
        <v>-800</v>
      </c>
      <c r="E65" s="2"/>
      <c r="F65" s="7">
        <f t="shared" si="24"/>
        <v>0</v>
      </c>
      <c r="G65" s="2"/>
      <c r="H65" s="6">
        <v>-800</v>
      </c>
      <c r="I65" s="2"/>
      <c r="J65" s="7">
        <f t="shared" si="25"/>
        <v>0</v>
      </c>
      <c r="K65" s="2"/>
      <c r="L65" s="6">
        <f t="shared" si="26"/>
        <v>0</v>
      </c>
      <c r="M65" s="2"/>
      <c r="N65" s="7">
        <f t="shared" si="27"/>
        <v>0</v>
      </c>
      <c r="O65" s="11"/>
      <c r="P65" s="6">
        <v>-1600</v>
      </c>
      <c r="Q65" s="2"/>
      <c r="R65" s="7">
        <f t="shared" si="28"/>
        <v>0</v>
      </c>
      <c r="S65" s="2"/>
      <c r="T65" s="6">
        <v>-1600</v>
      </c>
      <c r="U65" s="2"/>
      <c r="V65" s="7">
        <f t="shared" si="29"/>
        <v>0</v>
      </c>
      <c r="W65" s="2"/>
      <c r="X65" s="6">
        <f t="shared" si="30"/>
        <v>0</v>
      </c>
      <c r="Y65" s="2"/>
      <c r="Z65" s="7">
        <f t="shared" si="31"/>
        <v>0</v>
      </c>
    </row>
    <row r="66" spans="1:26" s="28" customFormat="1" outlineLevel="1" collapsed="1" x14ac:dyDescent="0.3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SUM(OSRRefD22_14x_0)</f>
        <v>5377.0499999999993</v>
      </c>
      <c r="E66" s="1"/>
      <c r="F66" s="5">
        <f t="shared" si="24"/>
        <v>0</v>
      </c>
      <c r="G66" s="1"/>
      <c r="H66" s="1">
        <f>SUM(OSRRefH22_14x_0)</f>
        <v>4950</v>
      </c>
      <c r="I66" s="1"/>
      <c r="J66" s="5">
        <f t="shared" si="25"/>
        <v>0</v>
      </c>
      <c r="K66" s="1"/>
      <c r="L66" s="1">
        <f t="shared" si="26"/>
        <v>427.04999999999927</v>
      </c>
      <c r="M66" s="1"/>
      <c r="N66" s="5">
        <f t="shared" si="27"/>
        <v>8.6272727272727126E-2</v>
      </c>
      <c r="O66" s="14"/>
      <c r="P66" s="1">
        <f>SUM(OSRRefP22_14x_0)</f>
        <v>64893.27</v>
      </c>
      <c r="Q66" s="1"/>
      <c r="R66" s="5">
        <f t="shared" si="28"/>
        <v>0</v>
      </c>
      <c r="S66" s="1"/>
      <c r="T66" s="1">
        <f>SUM(OSRRefT22_14x_0)</f>
        <v>45520</v>
      </c>
      <c r="U66" s="1"/>
      <c r="V66" s="5">
        <f t="shared" si="29"/>
        <v>0</v>
      </c>
      <c r="W66" s="1"/>
      <c r="X66" s="1">
        <f t="shared" si="30"/>
        <v>19373.269999999997</v>
      </c>
      <c r="Y66" s="1"/>
      <c r="Z66" s="5">
        <f t="shared" si="31"/>
        <v>0.42559907732864666</v>
      </c>
    </row>
    <row r="67" spans="1:26" s="24" customFormat="1" hidden="1" outlineLevel="2" x14ac:dyDescent="0.3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4"/>
        <v>0</v>
      </c>
      <c r="G67" s="2"/>
      <c r="H67" s="6">
        <v>1000</v>
      </c>
      <c r="I67" s="2"/>
      <c r="J67" s="7">
        <f t="shared" si="25"/>
        <v>0</v>
      </c>
      <c r="K67" s="2"/>
      <c r="L67" s="6">
        <f t="shared" si="26"/>
        <v>-1000</v>
      </c>
      <c r="M67" s="2"/>
      <c r="N67" s="7">
        <f t="shared" si="27"/>
        <v>-1</v>
      </c>
      <c r="O67" s="11"/>
      <c r="P67" s="6">
        <v>56736</v>
      </c>
      <c r="Q67" s="2"/>
      <c r="R67" s="7">
        <f t="shared" si="28"/>
        <v>0</v>
      </c>
      <c r="S67" s="2"/>
      <c r="T67" s="6">
        <v>41000</v>
      </c>
      <c r="U67" s="2"/>
      <c r="V67" s="7">
        <f t="shared" si="29"/>
        <v>0</v>
      </c>
      <c r="W67" s="2"/>
      <c r="X67" s="6">
        <f t="shared" si="30"/>
        <v>15736</v>
      </c>
      <c r="Y67" s="2"/>
      <c r="Z67" s="7">
        <f t="shared" si="31"/>
        <v>0.3838048780487805</v>
      </c>
    </row>
    <row r="68" spans="1:26" s="24" customFormat="1" hidden="1" outlineLevel="2" x14ac:dyDescent="0.3">
      <c r="A68" s="27"/>
      <c r="B68" s="11" t="str">
        <f>CONCATENATE("          ", "6372", " - ", "COMPUTER HARDWARE MAINTENANCE")</f>
        <v xml:space="preserve">          6372 - COMPUTER HARDWARE MAINTENANCE</v>
      </c>
      <c r="C68" s="11"/>
      <c r="D68" s="6"/>
      <c r="E68" s="2"/>
      <c r="F68" s="7">
        <f t="shared" si="24"/>
        <v>0</v>
      </c>
      <c r="G68" s="2"/>
      <c r="H68" s="6">
        <v>3750</v>
      </c>
      <c r="I68" s="2"/>
      <c r="J68" s="7">
        <f t="shared" si="25"/>
        <v>0</v>
      </c>
      <c r="K68" s="2"/>
      <c r="L68" s="6">
        <f t="shared" si="26"/>
        <v>-3750</v>
      </c>
      <c r="M68" s="2"/>
      <c r="N68" s="7">
        <f t="shared" si="27"/>
        <v>-1</v>
      </c>
      <c r="O68" s="11"/>
      <c r="P68" s="6"/>
      <c r="Q68" s="2"/>
      <c r="R68" s="7">
        <f t="shared" si="28"/>
        <v>0</v>
      </c>
      <c r="S68" s="2"/>
      <c r="T68" s="6">
        <v>4120</v>
      </c>
      <c r="U68" s="2"/>
      <c r="V68" s="7">
        <f t="shared" si="29"/>
        <v>0</v>
      </c>
      <c r="W68" s="2"/>
      <c r="X68" s="6">
        <f t="shared" si="30"/>
        <v>-4120</v>
      </c>
      <c r="Y68" s="2"/>
      <c r="Z68" s="7">
        <f t="shared" si="31"/>
        <v>-1</v>
      </c>
    </row>
    <row r="69" spans="1:26" s="24" customFormat="1" hidden="1" outlineLevel="2" x14ac:dyDescent="0.3">
      <c r="A69" s="27"/>
      <c r="B69" s="11" t="str">
        <f>CONCATENATE("          ", "6373", " - ", "MAINTENANCE CONTRACTS")</f>
        <v xml:space="preserve">          6373 - MAINTENANCE CONTRACTS</v>
      </c>
      <c r="C69" s="11"/>
      <c r="D69" s="6">
        <v>5948.98</v>
      </c>
      <c r="E69" s="2"/>
      <c r="F69" s="7">
        <f t="shared" si="24"/>
        <v>0</v>
      </c>
      <c r="G69" s="2"/>
      <c r="H69" s="6">
        <v>200</v>
      </c>
      <c r="I69" s="2"/>
      <c r="J69" s="7">
        <f t="shared" si="25"/>
        <v>0</v>
      </c>
      <c r="K69" s="2"/>
      <c r="L69" s="6">
        <f t="shared" si="26"/>
        <v>5748.98</v>
      </c>
      <c r="M69" s="2"/>
      <c r="N69" s="7">
        <f t="shared" si="27"/>
        <v>28.744899999999998</v>
      </c>
      <c r="O69" s="11"/>
      <c r="P69" s="6">
        <v>5965.24</v>
      </c>
      <c r="Q69" s="2"/>
      <c r="R69" s="7">
        <f t="shared" si="28"/>
        <v>0</v>
      </c>
      <c r="S69" s="2"/>
      <c r="T69" s="6">
        <v>400</v>
      </c>
      <c r="U69" s="2"/>
      <c r="V69" s="7">
        <f t="shared" si="29"/>
        <v>0</v>
      </c>
      <c r="W69" s="2"/>
      <c r="X69" s="6">
        <f t="shared" si="30"/>
        <v>5565.24</v>
      </c>
      <c r="Y69" s="2"/>
      <c r="Z69" s="7">
        <f t="shared" si="31"/>
        <v>13.9131</v>
      </c>
    </row>
    <row r="70" spans="1:26" s="24" customFormat="1" hidden="1" outlineLevel="2" x14ac:dyDescent="0.3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-571.92999999999995</v>
      </c>
      <c r="E70" s="2"/>
      <c r="F70" s="7">
        <f t="shared" si="24"/>
        <v>0</v>
      </c>
      <c r="G70" s="2"/>
      <c r="H70" s="6"/>
      <c r="I70" s="2"/>
      <c r="J70" s="7">
        <f t="shared" si="25"/>
        <v>0</v>
      </c>
      <c r="K70" s="2"/>
      <c r="L70" s="6">
        <f t="shared" si="26"/>
        <v>-571.92999999999995</v>
      </c>
      <c r="M70" s="2"/>
      <c r="N70" s="7">
        <f t="shared" si="27"/>
        <v>0</v>
      </c>
      <c r="O70" s="11"/>
      <c r="P70" s="6">
        <v>2192.0300000000002</v>
      </c>
      <c r="Q70" s="2"/>
      <c r="R70" s="7">
        <f t="shared" si="28"/>
        <v>0</v>
      </c>
      <c r="S70" s="2"/>
      <c r="T70" s="6"/>
      <c r="U70" s="2"/>
      <c r="V70" s="7">
        <f t="shared" si="29"/>
        <v>0</v>
      </c>
      <c r="W70" s="2"/>
      <c r="X70" s="6">
        <f t="shared" si="30"/>
        <v>2192.0300000000002</v>
      </c>
      <c r="Y70" s="2"/>
      <c r="Z70" s="7">
        <f t="shared" si="31"/>
        <v>0</v>
      </c>
    </row>
    <row r="71" spans="1:26" s="28" customFormat="1" outlineLevel="1" collapsed="1" x14ac:dyDescent="0.3">
      <c r="A71" s="29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SUM(OSRRefD22_15x_0)</f>
        <v>10494.52</v>
      </c>
      <c r="E71" s="1"/>
      <c r="F71" s="5">
        <f t="shared" ref="F71:F73" si="32">IF(D$12=0,0,D71/D$12)</f>
        <v>0</v>
      </c>
      <c r="G71" s="1"/>
      <c r="H71" s="1">
        <f>SUM(OSRRefH22_15x_0)</f>
        <v>4300</v>
      </c>
      <c r="I71" s="1"/>
      <c r="J71" s="5">
        <f t="shared" ref="J71:J73" si="33">IF(H$12=0,0,H71/H$12)</f>
        <v>0</v>
      </c>
      <c r="K71" s="1"/>
      <c r="L71" s="1">
        <f t="shared" ref="L71:L73" si="34">+D71-H71</f>
        <v>6194.52</v>
      </c>
      <c r="M71" s="1"/>
      <c r="N71" s="5">
        <f t="shared" ref="N71:N73" si="35">IF(H71=0,0,L71/H71)</f>
        <v>1.440586046511628</v>
      </c>
      <c r="O71" s="14"/>
      <c r="P71" s="1">
        <f>SUM(OSRRefP22_15x_0)</f>
        <v>14345.25</v>
      </c>
      <c r="Q71" s="1"/>
      <c r="R71" s="5">
        <f t="shared" ref="R71:R73" si="36">IF(P$12=0,0,P71/P$12)</f>
        <v>0</v>
      </c>
      <c r="S71" s="1"/>
      <c r="T71" s="1">
        <f>SUM(OSRRefT22_15x_0)</f>
        <v>8600</v>
      </c>
      <c r="U71" s="1"/>
      <c r="V71" s="5">
        <f t="shared" ref="V71:V73" si="37">IF(T$12=0,0,T71/T$12)</f>
        <v>0</v>
      </c>
      <c r="W71" s="1"/>
      <c r="X71" s="1">
        <f t="shared" ref="X71:X73" si="38">+P71-T71</f>
        <v>5745.25</v>
      </c>
      <c r="Y71" s="1"/>
      <c r="Z71" s="5">
        <f t="shared" ref="Z71:Z73" si="39">IF(T71=0,0,X71/T71)</f>
        <v>0.66805232558139538</v>
      </c>
    </row>
    <row r="72" spans="1:26" s="24" customFormat="1" hidden="1" outlineLevel="2" x14ac:dyDescent="0.3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291</v>
      </c>
      <c r="E72" s="2"/>
      <c r="F72" s="7">
        <f t="shared" si="32"/>
        <v>0</v>
      </c>
      <c r="G72" s="2"/>
      <c r="H72" s="6">
        <v>4300</v>
      </c>
      <c r="I72" s="2"/>
      <c r="J72" s="7">
        <f t="shared" si="33"/>
        <v>0</v>
      </c>
      <c r="K72" s="2"/>
      <c r="L72" s="6">
        <f t="shared" si="34"/>
        <v>-4009</v>
      </c>
      <c r="M72" s="2"/>
      <c r="N72" s="7">
        <f t="shared" si="35"/>
        <v>-0.93232558139534882</v>
      </c>
      <c r="O72" s="11"/>
      <c r="P72" s="6">
        <v>291</v>
      </c>
      <c r="Q72" s="2"/>
      <c r="R72" s="7">
        <f t="shared" si="36"/>
        <v>0</v>
      </c>
      <c r="S72" s="2"/>
      <c r="T72" s="6">
        <v>8600</v>
      </c>
      <c r="U72" s="2"/>
      <c r="V72" s="7">
        <f t="shared" si="37"/>
        <v>0</v>
      </c>
      <c r="W72" s="2"/>
      <c r="X72" s="6">
        <f t="shared" si="38"/>
        <v>-8309</v>
      </c>
      <c r="Y72" s="2"/>
      <c r="Z72" s="7">
        <f t="shared" si="39"/>
        <v>-0.96616279069767441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10203.52</v>
      </c>
      <c r="E73" s="2"/>
      <c r="F73" s="7">
        <f t="shared" si="32"/>
        <v>0</v>
      </c>
      <c r="G73" s="2"/>
      <c r="H73" s="6"/>
      <c r="I73" s="2"/>
      <c r="J73" s="7">
        <f t="shared" si="33"/>
        <v>0</v>
      </c>
      <c r="K73" s="2"/>
      <c r="L73" s="6">
        <f t="shared" si="34"/>
        <v>10203.52</v>
      </c>
      <c r="M73" s="2"/>
      <c r="N73" s="7">
        <f t="shared" si="35"/>
        <v>0</v>
      </c>
      <c r="O73" s="11"/>
      <c r="P73" s="6">
        <v>14054.25</v>
      </c>
      <c r="Q73" s="2"/>
      <c r="R73" s="7">
        <f t="shared" si="36"/>
        <v>0</v>
      </c>
      <c r="S73" s="2"/>
      <c r="T73" s="6"/>
      <c r="U73" s="2"/>
      <c r="V73" s="7">
        <f t="shared" si="37"/>
        <v>0</v>
      </c>
      <c r="W73" s="2"/>
      <c r="X73" s="6">
        <f t="shared" si="38"/>
        <v>14054.25</v>
      </c>
      <c r="Y73" s="2"/>
      <c r="Z73" s="7">
        <f t="shared" si="39"/>
        <v>0</v>
      </c>
    </row>
    <row r="74" spans="1:26" s="28" customFormat="1" outlineLevel="1" collapsed="1" x14ac:dyDescent="0.3">
      <c r="A74" s="29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SUM(OSRRefD22_16x_0)</f>
        <v>0</v>
      </c>
      <c r="E74" s="1"/>
      <c r="F74" s="5">
        <f t="shared" ref="F74:F81" si="40">IF(D$12=0,0,D74/D$12)</f>
        <v>0</v>
      </c>
      <c r="G74" s="1"/>
      <c r="H74" s="1">
        <f>SUM(OSRRefH22_16x_0)</f>
        <v>1000</v>
      </c>
      <c r="I74" s="1"/>
      <c r="J74" s="5">
        <f t="shared" ref="J74:J81" si="41">IF(H$12=0,0,H74/H$12)</f>
        <v>0</v>
      </c>
      <c r="K74" s="1"/>
      <c r="L74" s="1">
        <f t="shared" ref="L74:L81" si="42">+D74-H74</f>
        <v>-1000</v>
      </c>
      <c r="M74" s="1"/>
      <c r="N74" s="5">
        <f t="shared" ref="N74:N81" si="43">IF(H74=0,0,L74/H74)</f>
        <v>-1</v>
      </c>
      <c r="O74" s="14"/>
      <c r="P74" s="1">
        <f>SUM(OSRRefP22_16x_0)</f>
        <v>0</v>
      </c>
      <c r="Q74" s="1"/>
      <c r="R74" s="5">
        <f t="shared" ref="R74:R81" si="44">IF(P$12=0,0,P74/P$12)</f>
        <v>0</v>
      </c>
      <c r="S74" s="1"/>
      <c r="T74" s="1">
        <f>SUM(OSRRefT22_16x_0)</f>
        <v>1000</v>
      </c>
      <c r="U74" s="1"/>
      <c r="V74" s="5">
        <f t="shared" ref="V74:V81" si="45">IF(T$12=0,0,T74/T$12)</f>
        <v>0</v>
      </c>
      <c r="W74" s="1"/>
      <c r="X74" s="1">
        <f t="shared" ref="X74:X81" si="46">+P74-T74</f>
        <v>-1000</v>
      </c>
      <c r="Y74" s="1"/>
      <c r="Z74" s="5">
        <f t="shared" ref="Z74:Z81" si="47">IF(T74=0,0,X74/T74)</f>
        <v>-1</v>
      </c>
    </row>
    <row r="75" spans="1:26" s="24" customFormat="1" hidden="1" outlineLevel="2" x14ac:dyDescent="0.3">
      <c r="A75" s="27"/>
      <c r="B75" s="11" t="str">
        <f>CONCATENATE("          ", "6258", " - ", "MEMBERSHIP DUES")</f>
        <v xml:space="preserve">          6258 - MEMBERSHIP DUES</v>
      </c>
      <c r="C75" s="11"/>
      <c r="D75" s="6"/>
      <c r="E75" s="2"/>
      <c r="F75" s="7">
        <f t="shared" si="40"/>
        <v>0</v>
      </c>
      <c r="G75" s="2"/>
      <c r="H75" s="6">
        <v>1000</v>
      </c>
      <c r="I75" s="2"/>
      <c r="J75" s="7">
        <f t="shared" si="41"/>
        <v>0</v>
      </c>
      <c r="K75" s="2"/>
      <c r="L75" s="6">
        <f t="shared" si="42"/>
        <v>-1000</v>
      </c>
      <c r="M75" s="2"/>
      <c r="N75" s="7">
        <f t="shared" si="43"/>
        <v>-1</v>
      </c>
      <c r="O75" s="11"/>
      <c r="P75" s="6"/>
      <c r="Q75" s="2"/>
      <c r="R75" s="7">
        <f t="shared" si="44"/>
        <v>0</v>
      </c>
      <c r="S75" s="2"/>
      <c r="T75" s="6">
        <v>1000</v>
      </c>
      <c r="U75" s="2"/>
      <c r="V75" s="7">
        <f t="shared" si="45"/>
        <v>0</v>
      </c>
      <c r="W75" s="2"/>
      <c r="X75" s="6">
        <f t="shared" si="46"/>
        <v>-1000</v>
      </c>
      <c r="Y75" s="2"/>
      <c r="Z75" s="7">
        <f t="shared" si="47"/>
        <v>-1</v>
      </c>
    </row>
    <row r="76" spans="1:26" s="28" customFormat="1" outlineLevel="1" collapsed="1" x14ac:dyDescent="0.3">
      <c r="A76" s="29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SUM(OSRRefD22_17x_0)</f>
        <v>4373.46</v>
      </c>
      <c r="E76" s="1"/>
      <c r="F76" s="5">
        <f t="shared" si="40"/>
        <v>0</v>
      </c>
      <c r="G76" s="1"/>
      <c r="H76" s="1">
        <f>SUM(OSRRefH22_17x_0)</f>
        <v>5200</v>
      </c>
      <c r="I76" s="1"/>
      <c r="J76" s="5">
        <f t="shared" si="41"/>
        <v>0</v>
      </c>
      <c r="K76" s="1"/>
      <c r="L76" s="1">
        <f t="shared" si="42"/>
        <v>-826.54</v>
      </c>
      <c r="M76" s="1"/>
      <c r="N76" s="5">
        <f t="shared" si="43"/>
        <v>-0.15894999999999998</v>
      </c>
      <c r="O76" s="14"/>
      <c r="P76" s="1">
        <f>SUM(OSRRefP22_17x_0)</f>
        <v>5454.37</v>
      </c>
      <c r="Q76" s="1"/>
      <c r="R76" s="5">
        <f t="shared" si="44"/>
        <v>0</v>
      </c>
      <c r="S76" s="1"/>
      <c r="T76" s="1">
        <f>SUM(OSRRefT22_17x_0)</f>
        <v>10400</v>
      </c>
      <c r="U76" s="1"/>
      <c r="V76" s="5">
        <f t="shared" si="45"/>
        <v>0</v>
      </c>
      <c r="W76" s="1"/>
      <c r="X76" s="1">
        <f t="shared" si="46"/>
        <v>-4945.63</v>
      </c>
      <c r="Y76" s="1"/>
      <c r="Z76" s="5">
        <f t="shared" si="47"/>
        <v>-0.47554134615384619</v>
      </c>
    </row>
    <row r="77" spans="1:26" s="24" customFormat="1" hidden="1" outlineLevel="2" x14ac:dyDescent="0.3">
      <c r="A77" s="27"/>
      <c r="B77" s="11" t="str">
        <f>CONCATENATE("          ", "6235", " - ", "COVID-19 EXPENSES")</f>
        <v xml:space="preserve">          6235 - COVID-19 EXPENSES</v>
      </c>
      <c r="C77" s="11"/>
      <c r="D77" s="6">
        <v>2695.61</v>
      </c>
      <c r="E77" s="2"/>
      <c r="F77" s="7">
        <f t="shared" si="40"/>
        <v>0</v>
      </c>
      <c r="G77" s="2"/>
      <c r="H77" s="6">
        <v>100</v>
      </c>
      <c r="I77" s="2"/>
      <c r="J77" s="7">
        <f t="shared" si="41"/>
        <v>0</v>
      </c>
      <c r="K77" s="2"/>
      <c r="L77" s="6">
        <f t="shared" si="42"/>
        <v>2595.61</v>
      </c>
      <c r="M77" s="2"/>
      <c r="N77" s="7">
        <f t="shared" si="43"/>
        <v>25.956100000000003</v>
      </c>
      <c r="O77" s="11"/>
      <c r="P77" s="6">
        <v>2967.83</v>
      </c>
      <c r="Q77" s="2"/>
      <c r="R77" s="7">
        <f t="shared" si="44"/>
        <v>0</v>
      </c>
      <c r="S77" s="2"/>
      <c r="T77" s="6">
        <v>200</v>
      </c>
      <c r="U77" s="2"/>
      <c r="V77" s="7">
        <f t="shared" si="45"/>
        <v>0</v>
      </c>
      <c r="W77" s="2"/>
      <c r="X77" s="6">
        <f t="shared" si="46"/>
        <v>2767.83</v>
      </c>
      <c r="Y77" s="2"/>
      <c r="Z77" s="7">
        <f t="shared" si="47"/>
        <v>13.83915</v>
      </c>
    </row>
    <row r="78" spans="1:26" s="24" customFormat="1" hidden="1" outlineLevel="2" x14ac:dyDescent="0.3">
      <c r="A78" s="27"/>
      <c r="B78" s="11" t="str">
        <f>CONCATENATE("          ", "6237", " - ", "JANITORIAL SUPPLIES")</f>
        <v xml:space="preserve">          6237 - JANITORIAL SUPPLIES</v>
      </c>
      <c r="C78" s="11"/>
      <c r="D78" s="6">
        <v>1092.55</v>
      </c>
      <c r="E78" s="2"/>
      <c r="F78" s="7">
        <f t="shared" si="40"/>
        <v>0</v>
      </c>
      <c r="G78" s="2"/>
      <c r="H78" s="6"/>
      <c r="I78" s="2"/>
      <c r="J78" s="7">
        <f t="shared" si="41"/>
        <v>0</v>
      </c>
      <c r="K78" s="2"/>
      <c r="L78" s="6">
        <f t="shared" si="42"/>
        <v>1092.55</v>
      </c>
      <c r="M78" s="2"/>
      <c r="N78" s="7">
        <f t="shared" si="43"/>
        <v>0</v>
      </c>
      <c r="O78" s="11"/>
      <c r="P78" s="6">
        <v>1748.52</v>
      </c>
      <c r="Q78" s="2"/>
      <c r="R78" s="7">
        <f t="shared" si="44"/>
        <v>0</v>
      </c>
      <c r="S78" s="2"/>
      <c r="T78" s="6"/>
      <c r="U78" s="2"/>
      <c r="V78" s="7">
        <f t="shared" si="45"/>
        <v>0</v>
      </c>
      <c r="W78" s="2"/>
      <c r="X78" s="6">
        <f t="shared" si="46"/>
        <v>1748.52</v>
      </c>
      <c r="Y78" s="2"/>
      <c r="Z78" s="7">
        <f t="shared" si="47"/>
        <v>0</v>
      </c>
    </row>
    <row r="79" spans="1:26" s="24" customFormat="1" hidden="1" outlineLevel="2" x14ac:dyDescent="0.3">
      <c r="A79" s="27"/>
      <c r="B79" s="11" t="str">
        <f>CONCATENATE("          ", "6241", " - ", "OFFICE EXPENSE")</f>
        <v xml:space="preserve">          6241 - OFFICE EXPENSE</v>
      </c>
      <c r="C79" s="11"/>
      <c r="D79" s="6">
        <v>98.44</v>
      </c>
      <c r="E79" s="2"/>
      <c r="F79" s="7">
        <f t="shared" si="40"/>
        <v>0</v>
      </c>
      <c r="G79" s="2"/>
      <c r="H79" s="6">
        <v>100</v>
      </c>
      <c r="I79" s="2"/>
      <c r="J79" s="7">
        <f t="shared" si="41"/>
        <v>0</v>
      </c>
      <c r="K79" s="2"/>
      <c r="L79" s="6">
        <f t="shared" si="42"/>
        <v>-1.5600000000000023</v>
      </c>
      <c r="M79" s="2"/>
      <c r="N79" s="7">
        <f t="shared" si="43"/>
        <v>-1.5600000000000024E-2</v>
      </c>
      <c r="O79" s="11"/>
      <c r="P79" s="6">
        <v>103.78</v>
      </c>
      <c r="Q79" s="2"/>
      <c r="R79" s="7">
        <f t="shared" si="44"/>
        <v>0</v>
      </c>
      <c r="S79" s="2"/>
      <c r="T79" s="6">
        <v>200</v>
      </c>
      <c r="U79" s="2"/>
      <c r="V79" s="7">
        <f t="shared" si="45"/>
        <v>0</v>
      </c>
      <c r="W79" s="2"/>
      <c r="X79" s="6">
        <f t="shared" si="46"/>
        <v>-96.22</v>
      </c>
      <c r="Y79" s="2"/>
      <c r="Z79" s="7">
        <f t="shared" si="47"/>
        <v>-0.48109999999999997</v>
      </c>
    </row>
    <row r="80" spans="1:26" s="24" customFormat="1" hidden="1" outlineLevel="2" x14ac:dyDescent="0.3">
      <c r="A80" s="27"/>
      <c r="B80" s="11" t="str">
        <f>CONCATENATE("          ", "6245", " - ", "PRINTING")</f>
        <v xml:space="preserve">          6245 - PRINTING</v>
      </c>
      <c r="C80" s="11"/>
      <c r="D80" s="6">
        <v>335.32</v>
      </c>
      <c r="E80" s="2"/>
      <c r="F80" s="7">
        <f t="shared" si="40"/>
        <v>0</v>
      </c>
      <c r="G80" s="2"/>
      <c r="H80" s="6"/>
      <c r="I80" s="2"/>
      <c r="J80" s="7">
        <f t="shared" si="41"/>
        <v>0</v>
      </c>
      <c r="K80" s="2"/>
      <c r="L80" s="6">
        <f t="shared" si="42"/>
        <v>335.32</v>
      </c>
      <c r="M80" s="2"/>
      <c r="N80" s="7">
        <f t="shared" si="43"/>
        <v>0</v>
      </c>
      <c r="O80" s="11"/>
      <c r="P80" s="6">
        <v>335.32</v>
      </c>
      <c r="Q80" s="2"/>
      <c r="R80" s="7">
        <f t="shared" si="44"/>
        <v>0</v>
      </c>
      <c r="S80" s="2"/>
      <c r="T80" s="6"/>
      <c r="U80" s="2"/>
      <c r="V80" s="7">
        <f t="shared" si="45"/>
        <v>0</v>
      </c>
      <c r="W80" s="2"/>
      <c r="X80" s="6">
        <f t="shared" si="46"/>
        <v>335.32</v>
      </c>
      <c r="Y80" s="2"/>
      <c r="Z80" s="7">
        <f t="shared" si="47"/>
        <v>0</v>
      </c>
    </row>
    <row r="81" spans="1:26" s="24" customFormat="1" hidden="1" outlineLevel="2" x14ac:dyDescent="0.3">
      <c r="A81" s="27"/>
      <c r="B81" s="11" t="str">
        <f>CONCATENATE("          ", "6247", " - ", "STORE SUPPLIES")</f>
        <v xml:space="preserve">          6247 - STORE SUPPLIES</v>
      </c>
      <c r="C81" s="11"/>
      <c r="D81" s="6">
        <v>151.54</v>
      </c>
      <c r="E81" s="2"/>
      <c r="F81" s="7">
        <f t="shared" si="40"/>
        <v>0</v>
      </c>
      <c r="G81" s="2"/>
      <c r="H81" s="6">
        <v>5000</v>
      </c>
      <c r="I81" s="2"/>
      <c r="J81" s="7">
        <f t="shared" si="41"/>
        <v>0</v>
      </c>
      <c r="K81" s="2"/>
      <c r="L81" s="6">
        <f t="shared" si="42"/>
        <v>-4848.46</v>
      </c>
      <c r="M81" s="2"/>
      <c r="N81" s="7">
        <f t="shared" si="43"/>
        <v>-0.969692</v>
      </c>
      <c r="O81" s="11"/>
      <c r="P81" s="6">
        <v>298.92</v>
      </c>
      <c r="Q81" s="2"/>
      <c r="R81" s="7">
        <f t="shared" si="44"/>
        <v>0</v>
      </c>
      <c r="S81" s="2"/>
      <c r="T81" s="6">
        <v>10000</v>
      </c>
      <c r="U81" s="2"/>
      <c r="V81" s="7">
        <f t="shared" si="45"/>
        <v>0</v>
      </c>
      <c r="W81" s="2"/>
      <c r="X81" s="6">
        <f t="shared" si="46"/>
        <v>-9701.08</v>
      </c>
      <c r="Y81" s="2"/>
      <c r="Z81" s="7">
        <f t="shared" si="47"/>
        <v>-0.97010799999999997</v>
      </c>
    </row>
    <row r="82" spans="1:26" s="28" customFormat="1" outlineLevel="1" collapsed="1" x14ac:dyDescent="0.3">
      <c r="A82" s="29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SUM(OSRRefD22_18x_0)</f>
        <v>537.5</v>
      </c>
      <c r="E82" s="1"/>
      <c r="F82" s="5">
        <f t="shared" ref="F82:F87" si="48">IF(D$12=0,0,D82/D$12)</f>
        <v>0</v>
      </c>
      <c r="G82" s="1"/>
      <c r="H82" s="1">
        <f>SUM(OSRRefH22_18x_0)</f>
        <v>600</v>
      </c>
      <c r="I82" s="1"/>
      <c r="J82" s="5">
        <f t="shared" ref="J82:J87" si="49">IF(H$12=0,0,H82/H$12)</f>
        <v>0</v>
      </c>
      <c r="K82" s="1"/>
      <c r="L82" s="1">
        <f t="shared" ref="L82:L87" si="50">+D82-H82</f>
        <v>-62.5</v>
      </c>
      <c r="M82" s="1"/>
      <c r="N82" s="5">
        <f t="shared" ref="N82:N87" si="51">IF(H82=0,0,L82/H82)</f>
        <v>-0.10416666666666667</v>
      </c>
      <c r="O82" s="14"/>
      <c r="P82" s="1">
        <f>SUM(OSRRefP22_18x_0)</f>
        <v>1050.8499999999999</v>
      </c>
      <c r="Q82" s="1"/>
      <c r="R82" s="5">
        <f t="shared" ref="R82:R87" si="52">IF(P$12=0,0,P82/P$12)</f>
        <v>0</v>
      </c>
      <c r="S82" s="1"/>
      <c r="T82" s="1">
        <f>SUM(OSRRefT22_18x_0)</f>
        <v>1200</v>
      </c>
      <c r="U82" s="1"/>
      <c r="V82" s="5">
        <f t="shared" ref="V82:V87" si="53">IF(T$12=0,0,T82/T$12)</f>
        <v>0</v>
      </c>
      <c r="W82" s="1"/>
      <c r="X82" s="1">
        <f t="shared" ref="X82:X87" si="54">+P82-T82</f>
        <v>-149.15000000000009</v>
      </c>
      <c r="Y82" s="1"/>
      <c r="Z82" s="5">
        <f t="shared" ref="Z82:Z87" si="55">IF(T82=0,0,X82/T82)</f>
        <v>-0.12429166666666674</v>
      </c>
    </row>
    <row r="83" spans="1:26" s="24" customFormat="1" hidden="1" outlineLevel="2" x14ac:dyDescent="0.3">
      <c r="A83" s="27"/>
      <c r="B83" s="11" t="str">
        <f>CONCATENATE("          ", "6309", " - ", "TELEPHONE")</f>
        <v xml:space="preserve">          6309 - TELEPHONE</v>
      </c>
      <c r="C83" s="11"/>
      <c r="D83" s="6">
        <v>537.5</v>
      </c>
      <c r="E83" s="2"/>
      <c r="F83" s="7">
        <f t="shared" si="48"/>
        <v>0</v>
      </c>
      <c r="G83" s="2"/>
      <c r="H83" s="6">
        <v>600</v>
      </c>
      <c r="I83" s="2"/>
      <c r="J83" s="7">
        <f t="shared" si="49"/>
        <v>0</v>
      </c>
      <c r="K83" s="2"/>
      <c r="L83" s="6">
        <f t="shared" si="50"/>
        <v>-62.5</v>
      </c>
      <c r="M83" s="2"/>
      <c r="N83" s="7">
        <f t="shared" si="51"/>
        <v>-0.10416666666666667</v>
      </c>
      <c r="O83" s="11"/>
      <c r="P83" s="6">
        <v>1050.8499999999999</v>
      </c>
      <c r="Q83" s="2"/>
      <c r="R83" s="7">
        <f t="shared" si="52"/>
        <v>0</v>
      </c>
      <c r="S83" s="2"/>
      <c r="T83" s="6">
        <v>1200</v>
      </c>
      <c r="U83" s="2"/>
      <c r="V83" s="7">
        <f t="shared" si="53"/>
        <v>0</v>
      </c>
      <c r="W83" s="2"/>
      <c r="X83" s="6">
        <f t="shared" si="54"/>
        <v>-149.15000000000009</v>
      </c>
      <c r="Y83" s="2"/>
      <c r="Z83" s="7">
        <f t="shared" si="55"/>
        <v>-0.12429166666666674</v>
      </c>
    </row>
    <row r="84" spans="1:26" s="28" customFormat="1" outlineLevel="1" collapsed="1" x14ac:dyDescent="0.3">
      <c r="A84" s="29"/>
      <c r="B84" s="14" t="str">
        <f>CONCATENATE("     ","Travel                                            ")</f>
        <v xml:space="preserve">     Travel                                            </v>
      </c>
      <c r="C84" s="14"/>
      <c r="D84" s="1">
        <f>SUM(OSRRefD22_19x_0)</f>
        <v>0</v>
      </c>
      <c r="E84" s="1"/>
      <c r="F84" s="5">
        <f t="shared" si="48"/>
        <v>0</v>
      </c>
      <c r="G84" s="1"/>
      <c r="H84" s="1">
        <f>SUM(OSRRefH22_19x_0)</f>
        <v>125</v>
      </c>
      <c r="I84" s="1"/>
      <c r="J84" s="5">
        <f t="shared" si="49"/>
        <v>0</v>
      </c>
      <c r="K84" s="1"/>
      <c r="L84" s="1">
        <f t="shared" si="50"/>
        <v>-125</v>
      </c>
      <c r="M84" s="1"/>
      <c r="N84" s="5">
        <f t="shared" si="51"/>
        <v>-1</v>
      </c>
      <c r="O84" s="14"/>
      <c r="P84" s="1">
        <f>SUM(OSRRefP22_19x_0)</f>
        <v>495</v>
      </c>
      <c r="Q84" s="1"/>
      <c r="R84" s="5">
        <f t="shared" si="52"/>
        <v>0</v>
      </c>
      <c r="S84" s="1"/>
      <c r="T84" s="1">
        <f>SUM(OSRRefT22_19x_0)</f>
        <v>250</v>
      </c>
      <c r="U84" s="1"/>
      <c r="V84" s="5">
        <f t="shared" si="53"/>
        <v>0</v>
      </c>
      <c r="W84" s="1"/>
      <c r="X84" s="1">
        <f t="shared" si="54"/>
        <v>245</v>
      </c>
      <c r="Y84" s="1"/>
      <c r="Z84" s="5">
        <f t="shared" si="55"/>
        <v>0.98</v>
      </c>
    </row>
    <row r="85" spans="1:26" s="24" customFormat="1" hidden="1" outlineLevel="2" x14ac:dyDescent="0.3">
      <c r="A85" s="27"/>
      <c r="B85" s="11" t="str">
        <f>CONCATENATE("          ", "6292", " - ", "TRAVEL/CONFERENCE")</f>
        <v xml:space="preserve">          6292 - TRAVEL/CONFERENCE</v>
      </c>
      <c r="C85" s="11"/>
      <c r="D85" s="6"/>
      <c r="E85" s="2"/>
      <c r="F85" s="7">
        <f t="shared" si="48"/>
        <v>0</v>
      </c>
      <c r="G85" s="2"/>
      <c r="H85" s="6">
        <v>125</v>
      </c>
      <c r="I85" s="2"/>
      <c r="J85" s="7">
        <f t="shared" si="49"/>
        <v>0</v>
      </c>
      <c r="K85" s="2"/>
      <c r="L85" s="6">
        <f t="shared" si="50"/>
        <v>-125</v>
      </c>
      <c r="M85" s="2"/>
      <c r="N85" s="7">
        <f t="shared" si="51"/>
        <v>-1</v>
      </c>
      <c r="O85" s="11"/>
      <c r="P85" s="6">
        <v>495</v>
      </c>
      <c r="Q85" s="2"/>
      <c r="R85" s="7">
        <f t="shared" si="52"/>
        <v>0</v>
      </c>
      <c r="S85" s="2"/>
      <c r="T85" s="6">
        <v>250</v>
      </c>
      <c r="U85" s="2"/>
      <c r="V85" s="7">
        <f t="shared" si="53"/>
        <v>0</v>
      </c>
      <c r="W85" s="2"/>
      <c r="X85" s="6">
        <f t="shared" si="54"/>
        <v>245</v>
      </c>
      <c r="Y85" s="2"/>
      <c r="Z85" s="7">
        <f t="shared" si="55"/>
        <v>0.98</v>
      </c>
    </row>
    <row r="86" spans="1:26" s="28" customFormat="1" outlineLevel="1" collapsed="1" x14ac:dyDescent="0.3">
      <c r="A86" s="29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SUM(OSRRefD22_20x_0)</f>
        <v>6000</v>
      </c>
      <c r="E86" s="1"/>
      <c r="F86" s="5">
        <f t="shared" si="48"/>
        <v>0</v>
      </c>
      <c r="G86" s="1"/>
      <c r="H86" s="1">
        <f>SUM(OSRRefH22_20x_0)</f>
        <v>6000</v>
      </c>
      <c r="I86" s="1"/>
      <c r="J86" s="5">
        <f t="shared" si="49"/>
        <v>0</v>
      </c>
      <c r="K86" s="1"/>
      <c r="L86" s="1">
        <f t="shared" si="50"/>
        <v>0</v>
      </c>
      <c r="M86" s="1"/>
      <c r="N86" s="5">
        <f t="shared" si="51"/>
        <v>0</v>
      </c>
      <c r="O86" s="14"/>
      <c r="P86" s="1">
        <f>SUM(OSRRefP22_20x_0)</f>
        <v>12000</v>
      </c>
      <c r="Q86" s="1"/>
      <c r="R86" s="5">
        <f t="shared" si="52"/>
        <v>0</v>
      </c>
      <c r="S86" s="1"/>
      <c r="T86" s="1">
        <f>SUM(OSRRefT22_20x_0)</f>
        <v>12000</v>
      </c>
      <c r="U86" s="1"/>
      <c r="V86" s="5">
        <f t="shared" si="53"/>
        <v>0</v>
      </c>
      <c r="W86" s="1"/>
      <c r="X86" s="1">
        <f t="shared" si="54"/>
        <v>0</v>
      </c>
      <c r="Y86" s="1"/>
      <c r="Z86" s="5">
        <f t="shared" si="55"/>
        <v>0</v>
      </c>
    </row>
    <row r="87" spans="1:26" s="24" customFormat="1" hidden="1" outlineLevel="2" x14ac:dyDescent="0.3">
      <c r="A87" s="27"/>
      <c r="B87" s="11" t="str">
        <f>CONCATENATE("          ", "6274", " - ", "UTILITIES")</f>
        <v xml:space="preserve">          6274 - UTILITIES</v>
      </c>
      <c r="C87" s="11"/>
      <c r="D87" s="6">
        <v>6000</v>
      </c>
      <c r="E87" s="2"/>
      <c r="F87" s="7">
        <f t="shared" si="48"/>
        <v>0</v>
      </c>
      <c r="G87" s="2"/>
      <c r="H87" s="6">
        <v>6000</v>
      </c>
      <c r="I87" s="2"/>
      <c r="J87" s="7">
        <f t="shared" si="49"/>
        <v>0</v>
      </c>
      <c r="K87" s="2"/>
      <c r="L87" s="6">
        <f t="shared" si="50"/>
        <v>0</v>
      </c>
      <c r="M87" s="2"/>
      <c r="N87" s="7">
        <f t="shared" si="51"/>
        <v>0</v>
      </c>
      <c r="O87" s="11"/>
      <c r="P87" s="6">
        <v>12000</v>
      </c>
      <c r="Q87" s="2"/>
      <c r="R87" s="7">
        <f t="shared" si="52"/>
        <v>0</v>
      </c>
      <c r="S87" s="2"/>
      <c r="T87" s="6">
        <v>12000</v>
      </c>
      <c r="U87" s="2"/>
      <c r="V87" s="7">
        <f t="shared" si="53"/>
        <v>0</v>
      </c>
      <c r="W87" s="2"/>
      <c r="X87" s="6">
        <f t="shared" si="54"/>
        <v>0</v>
      </c>
      <c r="Y87" s="2"/>
      <c r="Z87" s="7">
        <f t="shared" si="55"/>
        <v>0</v>
      </c>
    </row>
    <row r="88" spans="1:26" s="53" customFormat="1" x14ac:dyDescent="0.3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3">
      <c r="A89" s="10"/>
      <c r="B89" s="25" t="s">
        <v>293</v>
      </c>
      <c r="C89" s="10"/>
      <c r="D89" s="4">
        <f>SUM(OSRRefD25x_0)</f>
        <v>59022</v>
      </c>
      <c r="E89" s="4"/>
      <c r="F89" s="12">
        <f t="shared" ref="F89:F91" si="56">IF(D$12=0,0,D89/D$12)</f>
        <v>0</v>
      </c>
      <c r="G89" s="4"/>
      <c r="H89" s="4">
        <f>SUM(OSRRefH25x_0)</f>
        <v>44200</v>
      </c>
      <c r="I89" s="4"/>
      <c r="J89" s="12">
        <f t="shared" ref="J89:J91" si="57">IF(H$12=0,0,H89/H$12)</f>
        <v>0</v>
      </c>
      <c r="K89" s="4"/>
      <c r="L89" s="4">
        <f t="shared" ref="L89:L91" si="58">+D89-H89</f>
        <v>14822</v>
      </c>
      <c r="M89" s="4"/>
      <c r="N89" s="12">
        <f t="shared" ref="N89:N91" si="59">IF(H89=0,0,L89/H89)</f>
        <v>0.33533936651583712</v>
      </c>
      <c r="O89" s="10"/>
      <c r="P89" s="4">
        <f>SUM(OSRRefP25x_0)</f>
        <v>62948.89</v>
      </c>
      <c r="Q89" s="4"/>
      <c r="R89" s="12">
        <f t="shared" ref="R89:R91" si="60">IF(P$12=0,0,P89/P$12)</f>
        <v>0</v>
      </c>
      <c r="S89" s="4"/>
      <c r="T89" s="4">
        <f>SUM(OSRRefT25x_0)</f>
        <v>45400</v>
      </c>
      <c r="U89" s="4"/>
      <c r="V89" s="12">
        <f t="shared" ref="V89:V91" si="61">IF(T$12=0,0,T89/T$12)</f>
        <v>0</v>
      </c>
      <c r="W89" s="4"/>
      <c r="X89" s="4">
        <f t="shared" ref="X89:X91" si="62">+P89-T89</f>
        <v>17548.89</v>
      </c>
      <c r="Y89" s="4"/>
      <c r="Z89" s="12">
        <f t="shared" ref="Z89:Z91" si="63">IF(T89=0,0,X89/T89)</f>
        <v>0.3865394273127753</v>
      </c>
    </row>
    <row r="90" spans="1:26" s="24" customFormat="1" hidden="1" outlineLevel="1" x14ac:dyDescent="0.3">
      <c r="A90" s="44"/>
      <c r="B90" s="11" t="str">
        <f>CONCATENATE("          ", "9150", " - ", "MISC. INCOME")</f>
        <v xml:space="preserve">          9150 - MISC. INCOME</v>
      </c>
      <c r="C90" s="11"/>
      <c r="D90" s="2">
        <f>--59022</f>
        <v>59022</v>
      </c>
      <c r="E90" s="2"/>
      <c r="F90" s="19">
        <f t="shared" si="56"/>
        <v>0</v>
      </c>
      <c r="G90" s="2"/>
      <c r="H90" s="2">
        <v>1200</v>
      </c>
      <c r="I90" s="2"/>
      <c r="J90" s="19">
        <f t="shared" si="57"/>
        <v>0</v>
      </c>
      <c r="K90" s="2"/>
      <c r="L90" s="2">
        <f t="shared" si="58"/>
        <v>57822</v>
      </c>
      <c r="M90" s="2"/>
      <c r="N90" s="19">
        <f t="shared" si="59"/>
        <v>48.185000000000002</v>
      </c>
      <c r="O90" s="11"/>
      <c r="P90" s="2">
        <f>--62948.89</f>
        <v>62948.89</v>
      </c>
      <c r="Q90" s="2"/>
      <c r="R90" s="19">
        <f t="shared" si="60"/>
        <v>0</v>
      </c>
      <c r="S90" s="2"/>
      <c r="T90" s="2">
        <v>2400</v>
      </c>
      <c r="U90" s="2"/>
      <c r="V90" s="19">
        <f t="shared" si="61"/>
        <v>0</v>
      </c>
      <c r="W90" s="2"/>
      <c r="X90" s="2">
        <f t="shared" si="62"/>
        <v>60548.89</v>
      </c>
      <c r="Y90" s="2"/>
      <c r="Z90" s="19">
        <f t="shared" si="63"/>
        <v>25.228704166666667</v>
      </c>
    </row>
    <row r="91" spans="1:26" s="24" customFormat="1" hidden="1" outlineLevel="1" x14ac:dyDescent="0.3">
      <c r="A91" s="44"/>
      <c r="B91" s="11" t="str">
        <f>CONCATENATE("          ", "9151", " - ", "MISC. INCOME")</f>
        <v xml:space="preserve">          9151 - MISC. INCOME</v>
      </c>
      <c r="C91" s="11"/>
      <c r="D91" s="2">
        <f>0</f>
        <v>0</v>
      </c>
      <c r="E91" s="2"/>
      <c r="F91" s="19">
        <f t="shared" si="56"/>
        <v>0</v>
      </c>
      <c r="G91" s="2"/>
      <c r="H91" s="2">
        <v>43000</v>
      </c>
      <c r="I91" s="2"/>
      <c r="J91" s="19">
        <f t="shared" si="57"/>
        <v>0</v>
      </c>
      <c r="K91" s="2"/>
      <c r="L91" s="2">
        <f t="shared" si="58"/>
        <v>-43000</v>
      </c>
      <c r="M91" s="2"/>
      <c r="N91" s="19">
        <f t="shared" si="59"/>
        <v>-1</v>
      </c>
      <c r="O91" s="11"/>
      <c r="P91" s="2">
        <f>0</f>
        <v>0</v>
      </c>
      <c r="Q91" s="2"/>
      <c r="R91" s="19">
        <f t="shared" si="60"/>
        <v>0</v>
      </c>
      <c r="S91" s="2"/>
      <c r="T91" s="2">
        <v>43000</v>
      </c>
      <c r="U91" s="2"/>
      <c r="V91" s="19">
        <f t="shared" si="61"/>
        <v>0</v>
      </c>
      <c r="W91" s="2"/>
      <c r="X91" s="2">
        <f t="shared" si="62"/>
        <v>-43000</v>
      </c>
      <c r="Y91" s="2"/>
      <c r="Z91" s="19">
        <f t="shared" si="63"/>
        <v>-1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">
      <c r="A93" s="10"/>
      <c r="B93" s="26" t="s">
        <v>277</v>
      </c>
      <c r="C93" s="26"/>
      <c r="D93" s="21">
        <f>+D16-D18+D89</f>
        <v>-107631.49000000002</v>
      </c>
      <c r="E93" s="13"/>
      <c r="F93" s="20">
        <f>IF(D$12=0,0,D93/D$12)</f>
        <v>0</v>
      </c>
      <c r="G93" s="13"/>
      <c r="H93" s="21">
        <f>+H16-H18+H89</f>
        <v>-146401.3911008077</v>
      </c>
      <c r="I93" s="13"/>
      <c r="J93" s="20">
        <f>IF(H$12=0,0,H93/H$12)</f>
        <v>0</v>
      </c>
      <c r="K93" s="16"/>
      <c r="L93" s="21">
        <f>+D93-H93</f>
        <v>38769.901100807678</v>
      </c>
      <c r="M93" s="16"/>
      <c r="N93" s="20">
        <f>IF(H93=0,0,L93/H93)</f>
        <v>-0.26481921250401141</v>
      </c>
      <c r="O93" s="25"/>
      <c r="P93" s="21">
        <f>+P16-P18+P89</f>
        <v>-283379.52000000008</v>
      </c>
      <c r="Q93" s="13"/>
      <c r="R93" s="20">
        <f>IF(P$12=0,0,P93/P$12)</f>
        <v>0</v>
      </c>
      <c r="S93" s="13"/>
      <c r="T93" s="21">
        <f>+T16-T18+T89</f>
        <v>-309662.16414869233</v>
      </c>
      <c r="U93" s="13"/>
      <c r="V93" s="20">
        <f>IF(T$12=0,0,T93/T$12)</f>
        <v>0</v>
      </c>
      <c r="W93" s="16"/>
      <c r="X93" s="21">
        <f>+P93-T93</f>
        <v>26282.644148692256</v>
      </c>
      <c r="Y93" s="16"/>
      <c r="Z93" s="20">
        <f>IF(T93=0,0,X93/T93)</f>
        <v>-8.487521948620097E-2</v>
      </c>
    </row>
    <row r="94" spans="1:26" x14ac:dyDescent="0.3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3">
      <c r="A95" s="52"/>
      <c r="B95" s="10" t="s">
        <v>128</v>
      </c>
      <c r="C95" s="10"/>
      <c r="D95" s="4"/>
      <c r="E95" s="4"/>
      <c r="F95" s="12">
        <f>IF(D$12=0,0,D95/D$12)</f>
        <v>0</v>
      </c>
      <c r="G95" s="4"/>
      <c r="H95" s="4"/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/>
      <c r="Q95" s="4"/>
      <c r="R95" s="12">
        <f>IF(P$12=0,0,P95/P$12)</f>
        <v>0</v>
      </c>
      <c r="S95" s="4"/>
      <c r="T95" s="4"/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3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35">
      <c r="A97" s="10"/>
      <c r="B97" s="26" t="s">
        <v>126</v>
      </c>
      <c r="C97" s="26"/>
      <c r="D97" s="30">
        <f>+D93-D95</f>
        <v>-107631.49000000002</v>
      </c>
      <c r="E97" s="13"/>
      <c r="F97" s="35">
        <f>IF(D$12=0,0,D97/D$12)</f>
        <v>0</v>
      </c>
      <c r="G97" s="13"/>
      <c r="H97" s="30">
        <f>+H93-H95</f>
        <v>-146401.3911008077</v>
      </c>
      <c r="I97" s="13"/>
      <c r="J97" s="35">
        <f>IF(H$12=0,0,H97/H$12)</f>
        <v>0</v>
      </c>
      <c r="K97" s="16"/>
      <c r="L97" s="30">
        <f>D97-H97</f>
        <v>38769.901100807678</v>
      </c>
      <c r="M97" s="16"/>
      <c r="N97" s="35">
        <f>IF(H97=0,0,L97/H97)</f>
        <v>-0.26481921250401141</v>
      </c>
      <c r="O97" s="25"/>
      <c r="P97" s="30">
        <f>+P93-P95</f>
        <v>-283379.52000000008</v>
      </c>
      <c r="Q97" s="13"/>
      <c r="R97" s="35">
        <f>IF(P$12=0,0,P97/P$12)</f>
        <v>0</v>
      </c>
      <c r="S97" s="13"/>
      <c r="T97" s="30">
        <f>+T93-T95</f>
        <v>-309662.16414869233</v>
      </c>
      <c r="U97" s="13"/>
      <c r="V97" s="35">
        <f>IF(T$12=0,0,T97/T$12)</f>
        <v>0</v>
      </c>
      <c r="W97" s="16"/>
      <c r="X97" s="30">
        <f>P97-T97</f>
        <v>26282.644148692256</v>
      </c>
      <c r="Y97" s="16"/>
      <c r="Z97" s="35">
        <f>IF(T97=0,0,X97/T97)</f>
        <v>-8.487521948620097E-2</v>
      </c>
    </row>
    <row r="98" spans="1:26" ht="15" thickTop="1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3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" thickBot="1" x14ac:dyDescent="0.35">
      <c r="A100" s="10"/>
      <c r="B100" s="26" t="s">
        <v>294</v>
      </c>
      <c r="C100" s="26"/>
      <c r="D100" s="32">
        <f>SUM(D97:D99)</f>
        <v>-107631.49000000002</v>
      </c>
      <c r="E100" s="13"/>
      <c r="F100" s="34">
        <f>IF(D$12=0,0,D100/D$12)</f>
        <v>0</v>
      </c>
      <c r="G100" s="13"/>
      <c r="H100" s="32">
        <f>SUM(H97:H99)</f>
        <v>-146401.3911008077</v>
      </c>
      <c r="I100" s="13"/>
      <c r="J100" s="34">
        <f>IF(H$12=0,0,H100/H$12)</f>
        <v>0</v>
      </c>
      <c r="K100" s="16"/>
      <c r="L100" s="32">
        <f>+D100-H100</f>
        <v>38769.901100807678</v>
      </c>
      <c r="M100" s="16"/>
      <c r="N100" s="34">
        <f>IF(H100=0,0,L100/H100)</f>
        <v>-0.26481921250401141</v>
      </c>
      <c r="O100" s="25"/>
      <c r="P100" s="32">
        <f>SUM(P97:P99)</f>
        <v>-283379.52000000008</v>
      </c>
      <c r="Q100" s="13"/>
      <c r="R100" s="34">
        <f>IF(P$12=0,0,P100/P$12)</f>
        <v>0</v>
      </c>
      <c r="S100" s="13"/>
      <c r="T100" s="32">
        <f>SUM(T97:T99)</f>
        <v>-309662.16414869233</v>
      </c>
      <c r="U100" s="13"/>
      <c r="V100" s="34">
        <f>IF(T$12=0,0,T100/T$12)</f>
        <v>0</v>
      </c>
      <c r="W100" s="16"/>
      <c r="X100" s="32">
        <f>+P100-T100</f>
        <v>26282.644148692256</v>
      </c>
      <c r="Y100" s="16"/>
      <c r="Z100" s="34">
        <f>IF(T100=0,0,X100/T100)</f>
        <v>-8.487521948620097E-2</v>
      </c>
    </row>
    <row r="101" spans="1:26" ht="15" thickTop="1" x14ac:dyDescent="0.3">
      <c r="A101" s="9"/>
      <c r="C101" s="9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3">
      <c r="A102" s="9"/>
      <c r="B102" s="61">
        <v>44470.835499687499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3">
      <c r="A103" s="9"/>
      <c r="B103" s="58" t="s">
        <v>56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3">
      <c r="A104" s="9"/>
      <c r="B104" s="55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3"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9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81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16514.54</v>
      </c>
      <c r="E12" s="4"/>
      <c r="F12" s="12"/>
      <c r="G12" s="4"/>
      <c r="H12" s="4">
        <f>SUM(OSRRefH13x_0)</f>
        <v>51976</v>
      </c>
      <c r="I12" s="4"/>
      <c r="J12" s="12"/>
      <c r="K12" s="4"/>
      <c r="L12" s="4">
        <f t="shared" ref="L12:L15" si="0">+D12-H12</f>
        <v>-35461.46</v>
      </c>
      <c r="M12" s="4"/>
      <c r="N12" s="12">
        <f t="shared" ref="N12:N15" si="1">IF(H12=0,0,L12/H12)</f>
        <v>-0.68226604586732331</v>
      </c>
      <c r="O12" s="10"/>
      <c r="P12" s="4">
        <f>SUM(OSRRefP13x_0)</f>
        <v>16514.54</v>
      </c>
      <c r="Q12" s="4"/>
      <c r="R12" s="12"/>
      <c r="S12" s="4"/>
      <c r="T12" s="4">
        <f>SUM(OSRRefT13x_0)</f>
        <v>54342</v>
      </c>
      <c r="U12" s="4"/>
      <c r="V12" s="12"/>
      <c r="W12" s="4"/>
      <c r="X12" s="4">
        <f t="shared" ref="X12:X15" si="2">+P12-T12</f>
        <v>-37827.46</v>
      </c>
      <c r="Y12" s="4"/>
      <c r="Z12" s="12">
        <f t="shared" ref="Z12:Z15" si="3">IF(T12=0,0,X12/T12)</f>
        <v>-0.69609988590776928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--15152.58</f>
        <v>15152.58</v>
      </c>
      <c r="E13" s="2"/>
      <c r="F13" s="19"/>
      <c r="G13" s="2"/>
      <c r="H13" s="2">
        <v>46162</v>
      </c>
      <c r="I13" s="2"/>
      <c r="J13" s="19"/>
      <c r="K13" s="2"/>
      <c r="L13" s="2">
        <f t="shared" si="0"/>
        <v>-31009.42</v>
      </c>
      <c r="M13" s="2"/>
      <c r="N13" s="19">
        <f t="shared" si="1"/>
        <v>-0.67175209046401796</v>
      </c>
      <c r="O13" s="11"/>
      <c r="P13" s="2">
        <f>--15152.58</f>
        <v>15152.58</v>
      </c>
      <c r="Q13" s="2"/>
      <c r="R13" s="19"/>
      <c r="S13" s="2"/>
      <c r="T13" s="2">
        <v>47973</v>
      </c>
      <c r="U13" s="2"/>
      <c r="V13" s="19"/>
      <c r="W13" s="2"/>
      <c r="X13" s="2">
        <f t="shared" si="2"/>
        <v>-32820.42</v>
      </c>
      <c r="Y13" s="2"/>
      <c r="Z13" s="19">
        <f t="shared" si="3"/>
        <v>-0.6841435807641798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--1628.53</f>
        <v>1628.53</v>
      </c>
      <c r="E14" s="2"/>
      <c r="F14" s="19"/>
      <c r="G14" s="2"/>
      <c r="H14" s="2">
        <v>5814</v>
      </c>
      <c r="I14" s="2"/>
      <c r="J14" s="19"/>
      <c r="K14" s="2"/>
      <c r="L14" s="2">
        <f t="shared" si="0"/>
        <v>-4185.47</v>
      </c>
      <c r="M14" s="2"/>
      <c r="N14" s="19">
        <f t="shared" si="1"/>
        <v>-0.71989508083935327</v>
      </c>
      <c r="O14" s="11"/>
      <c r="P14" s="2">
        <f>--1628.53</f>
        <v>1628.53</v>
      </c>
      <c r="Q14" s="2"/>
      <c r="R14" s="19"/>
      <c r="S14" s="2"/>
      <c r="T14" s="2">
        <v>6369</v>
      </c>
      <c r="U14" s="2"/>
      <c r="V14" s="19"/>
      <c r="W14" s="2"/>
      <c r="X14" s="2">
        <f t="shared" si="2"/>
        <v>-4740.47</v>
      </c>
      <c r="Y14" s="2"/>
      <c r="Z14" s="19">
        <f t="shared" si="3"/>
        <v>-0.74430365834510914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-266.57</f>
        <v>-266.57</v>
      </c>
      <c r="E15" s="2"/>
      <c r="F15" s="19"/>
      <c r="G15" s="2"/>
      <c r="H15" s="2"/>
      <c r="I15" s="2"/>
      <c r="J15" s="19"/>
      <c r="K15" s="2"/>
      <c r="L15" s="2">
        <f t="shared" si="0"/>
        <v>-266.57</v>
      </c>
      <c r="M15" s="2"/>
      <c r="N15" s="19">
        <f t="shared" si="1"/>
        <v>0</v>
      </c>
      <c r="O15" s="11"/>
      <c r="P15" s="2">
        <f>-266.57</f>
        <v>-266.57</v>
      </c>
      <c r="Q15" s="2"/>
      <c r="R15" s="19"/>
      <c r="S15" s="2"/>
      <c r="T15" s="2"/>
      <c r="U15" s="2"/>
      <c r="V15" s="19"/>
      <c r="W15" s="2"/>
      <c r="X15" s="2">
        <f t="shared" si="2"/>
        <v>-266.57</v>
      </c>
      <c r="Y15" s="2"/>
      <c r="Z15" s="19">
        <f t="shared" si="3"/>
        <v>0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9685.5600000000013</v>
      </c>
      <c r="E17" s="4"/>
      <c r="F17" s="12">
        <f t="shared" ref="F17:F27" si="4">IF(D$12=0,0,D17/D$12)</f>
        <v>0.58648681707150185</v>
      </c>
      <c r="G17" s="4"/>
      <c r="H17" s="4">
        <f>SUM(OSRRefH16x_0)</f>
        <v>31602</v>
      </c>
      <c r="I17" s="4"/>
      <c r="J17" s="12">
        <f t="shared" ref="J17:J27" si="5">IF(H$12=0,0,H17/H$12)</f>
        <v>0.60801138987224868</v>
      </c>
      <c r="K17" s="4"/>
      <c r="L17" s="4">
        <f t="shared" ref="L17:L27" si="6">+D17-H17</f>
        <v>-21916.44</v>
      </c>
      <c r="M17" s="4"/>
      <c r="N17" s="12">
        <f t="shared" ref="N17:N27" si="7">IF(H17=0,0,L17/H17)</f>
        <v>-0.69351433453578881</v>
      </c>
      <c r="O17" s="10"/>
      <c r="P17" s="4">
        <f>SUM(OSRRefP16x_0)</f>
        <v>9685.5600000000013</v>
      </c>
      <c r="Q17" s="4"/>
      <c r="R17" s="12">
        <f t="shared" ref="R17:R27" si="8">IF(P$12=0,0,P17/P$12)</f>
        <v>0.58648681707150185</v>
      </c>
      <c r="S17" s="4"/>
      <c r="T17" s="4">
        <f>SUM(OSRRefT16x_0)</f>
        <v>32984</v>
      </c>
      <c r="U17" s="4"/>
      <c r="V17" s="12">
        <f t="shared" ref="V17:V27" si="9">IF(T$12=0,0,T17/T$12)</f>
        <v>0.60697066725552984</v>
      </c>
      <c r="W17" s="4"/>
      <c r="X17" s="4">
        <f t="shared" ref="X17:X27" si="10">+P17-T17</f>
        <v>-23298.44</v>
      </c>
      <c r="Y17" s="4"/>
      <c r="Z17" s="12">
        <f t="shared" ref="Z17:Z27" si="11">IF(T17=0,0,X17/T17)</f>
        <v>-0.7063558088770312</v>
      </c>
    </row>
    <row r="18" spans="1:26" s="24" customFormat="1" hidden="1" outlineLevel="1" x14ac:dyDescent="0.3">
      <c r="A18" s="44"/>
      <c r="B18" s="11" t="str">
        <f>CONCATENATE("          ", "5000", " - ", "PURCHASES @ COST")</f>
        <v xml:space="preserve">          5000 - PURCHASES @ COST</v>
      </c>
      <c r="C18" s="11"/>
      <c r="D18" s="2">
        <v>13695.29</v>
      </c>
      <c r="E18" s="2"/>
      <c r="F18" s="19">
        <f t="shared" si="4"/>
        <v>0.82928679817905915</v>
      </c>
      <c r="G18" s="2"/>
      <c r="H18" s="2">
        <v>31602</v>
      </c>
      <c r="I18" s="2"/>
      <c r="J18" s="19">
        <f t="shared" si="5"/>
        <v>0.60801138987224868</v>
      </c>
      <c r="K18" s="2"/>
      <c r="L18" s="2">
        <f t="shared" si="6"/>
        <v>-17906.71</v>
      </c>
      <c r="M18" s="2"/>
      <c r="N18" s="19">
        <f t="shared" si="7"/>
        <v>-0.56663217517878617</v>
      </c>
      <c r="O18" s="11"/>
      <c r="P18" s="2">
        <v>13695.29</v>
      </c>
      <c r="Q18" s="2"/>
      <c r="R18" s="19">
        <f t="shared" si="8"/>
        <v>0.82928679817905915</v>
      </c>
      <c r="S18" s="2"/>
      <c r="T18" s="2">
        <v>32984</v>
      </c>
      <c r="U18" s="2"/>
      <c r="V18" s="19">
        <f t="shared" si="9"/>
        <v>0.60697066725552984</v>
      </c>
      <c r="W18" s="2"/>
      <c r="X18" s="2">
        <f t="shared" si="10"/>
        <v>-19288.71</v>
      </c>
      <c r="Y18" s="2"/>
      <c r="Z18" s="19">
        <f t="shared" si="11"/>
        <v>-0.58478989813242777</v>
      </c>
    </row>
    <row r="19" spans="1:26" s="24" customFormat="1" hidden="1" outlineLevel="1" x14ac:dyDescent="0.3">
      <c r="A19" s="44"/>
      <c r="B19" s="11" t="str">
        <f>CONCATENATE("          ", "5026", " - ", "PURCHASES @ COST-WRITING INSTR")</f>
        <v xml:space="preserve">          5026 - PURCHASES @ COST-WRITING INSTR</v>
      </c>
      <c r="C19" s="11"/>
      <c r="D19" s="2">
        <v>0</v>
      </c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0</v>
      </c>
      <c r="Q19" s="2"/>
      <c r="R19" s="19">
        <f t="shared" si="8"/>
        <v>0</v>
      </c>
      <c r="S19" s="2"/>
      <c r="T19" s="2"/>
      <c r="U19" s="2"/>
      <c r="V19" s="19">
        <f t="shared" si="9"/>
        <v>0</v>
      </c>
      <c r="W19" s="2"/>
      <c r="X19" s="2">
        <f t="shared" si="10"/>
        <v>0</v>
      </c>
      <c r="Y19" s="2"/>
      <c r="Z19" s="19">
        <f t="shared" si="11"/>
        <v>0</v>
      </c>
    </row>
    <row r="20" spans="1:26" s="24" customFormat="1" hidden="1" outlineLevel="1" x14ac:dyDescent="0.3">
      <c r="A20" s="44"/>
      <c r="B20" s="11" t="str">
        <f>CONCATENATE("          ", "5027", " - ", "PURCHASES @ COST-SCHOOL SUPPLI")</f>
        <v xml:space="preserve">          5027 - PURCHASES @ COST-SCHOOL SUPPLI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"5028", " - ", "PURCHASES @ COST-ART/TECH")</f>
        <v xml:space="preserve">          5028 - PURCHASES @ COST-ART/TECH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"5031", " - ", "PURCHASES @ COST-FOOD")</f>
        <v xml:space="preserve">          5031 - PURCHASES @ COST-FOOD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"5042", " - ", "PURCHASES @ COST-EVERYDAY GIFT")</f>
        <v xml:space="preserve">          5042 - PURCHASES @ COST-EVERYDAY GIFT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-13837.74</v>
      </c>
      <c r="E24" s="2"/>
      <c r="F24" s="19">
        <f t="shared" si="4"/>
        <v>-0.83791253041259395</v>
      </c>
      <c r="G24" s="2"/>
      <c r="H24" s="2"/>
      <c r="I24" s="2"/>
      <c r="J24" s="19">
        <f t="shared" si="5"/>
        <v>0</v>
      </c>
      <c r="K24" s="2"/>
      <c r="L24" s="2">
        <f t="shared" si="6"/>
        <v>-13837.74</v>
      </c>
      <c r="M24" s="2"/>
      <c r="N24" s="19">
        <f t="shared" si="7"/>
        <v>0</v>
      </c>
      <c r="O24" s="11"/>
      <c r="P24" s="2">
        <v>-13837.74</v>
      </c>
      <c r="Q24" s="2"/>
      <c r="R24" s="19">
        <f t="shared" si="8"/>
        <v>-0.83791253041259395</v>
      </c>
      <c r="S24" s="2"/>
      <c r="T24" s="2"/>
      <c r="U24" s="2"/>
      <c r="V24" s="19">
        <f t="shared" si="9"/>
        <v>0</v>
      </c>
      <c r="W24" s="2"/>
      <c r="X24" s="2">
        <f t="shared" si="10"/>
        <v>-13837.74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"5300", " - ", "COG$ OFFSET")</f>
        <v xml:space="preserve">          5300 - COG$ OFFSET</v>
      </c>
      <c r="C25" s="11"/>
      <c r="D25" s="2">
        <v>9685.56</v>
      </c>
      <c r="E25" s="2"/>
      <c r="F25" s="19">
        <f t="shared" si="4"/>
        <v>0.58648681707150174</v>
      </c>
      <c r="G25" s="2"/>
      <c r="H25" s="2"/>
      <c r="I25" s="2"/>
      <c r="J25" s="19">
        <f t="shared" si="5"/>
        <v>0</v>
      </c>
      <c r="K25" s="2"/>
      <c r="L25" s="2">
        <f t="shared" si="6"/>
        <v>9685.56</v>
      </c>
      <c r="M25" s="2"/>
      <c r="N25" s="19">
        <f t="shared" si="7"/>
        <v>0</v>
      </c>
      <c r="O25" s="11"/>
      <c r="P25" s="2">
        <v>9685.56</v>
      </c>
      <c r="Q25" s="2"/>
      <c r="R25" s="19">
        <f t="shared" si="8"/>
        <v>0.58648681707150174</v>
      </c>
      <c r="S25" s="2"/>
      <c r="T25" s="2"/>
      <c r="U25" s="2"/>
      <c r="V25" s="19">
        <f t="shared" si="9"/>
        <v>0</v>
      </c>
      <c r="W25" s="2"/>
      <c r="X25" s="2">
        <f t="shared" si="10"/>
        <v>9685.56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"5500", " - ", "FREIGHT-IN")</f>
        <v xml:space="preserve">          5500 - FREIGHT-IN</v>
      </c>
      <c r="C26" s="11"/>
      <c r="D26" s="2">
        <v>142.44999999999999</v>
      </c>
      <c r="E26" s="2"/>
      <c r="F26" s="19">
        <f t="shared" si="4"/>
        <v>8.6257322335348118E-3</v>
      </c>
      <c r="G26" s="2"/>
      <c r="H26" s="2"/>
      <c r="I26" s="2"/>
      <c r="J26" s="19">
        <f t="shared" si="5"/>
        <v>0</v>
      </c>
      <c r="K26" s="2"/>
      <c r="L26" s="2">
        <f t="shared" si="6"/>
        <v>142.44999999999999</v>
      </c>
      <c r="M26" s="2"/>
      <c r="N26" s="19">
        <f t="shared" si="7"/>
        <v>0</v>
      </c>
      <c r="O26" s="11"/>
      <c r="P26" s="2">
        <v>142.44999999999999</v>
      </c>
      <c r="Q26" s="2"/>
      <c r="R26" s="19">
        <f t="shared" si="8"/>
        <v>8.6257322335348118E-3</v>
      </c>
      <c r="S26" s="2"/>
      <c r="T26" s="2"/>
      <c r="U26" s="2"/>
      <c r="V26" s="19">
        <f t="shared" si="9"/>
        <v>0</v>
      </c>
      <c r="W26" s="2"/>
      <c r="X26" s="2">
        <f t="shared" si="10"/>
        <v>142.44999999999999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"5528", " - ", "FREIGHT-IN-ART/TECH")</f>
        <v xml:space="preserve">          5528 - FREIGHT-IN-ART/TECH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10"/>
      <c r="B29" s="26" t="s">
        <v>108</v>
      </c>
      <c r="C29" s="26"/>
      <c r="D29" s="21">
        <f>D12-D17</f>
        <v>6828.98</v>
      </c>
      <c r="E29" s="13"/>
      <c r="F29" s="20">
        <f>IF(D$12=0,0,D29/D$12)</f>
        <v>0.41351318292849809</v>
      </c>
      <c r="G29" s="13"/>
      <c r="H29" s="21">
        <f>H12-H17</f>
        <v>20374</v>
      </c>
      <c r="I29" s="13"/>
      <c r="J29" s="20">
        <f>IF(H$12=0,0,H29/H$12)</f>
        <v>0.39198861012775127</v>
      </c>
      <c r="K29" s="16"/>
      <c r="L29" s="21">
        <f>+D29-H29</f>
        <v>-13545.02</v>
      </c>
      <c r="M29" s="16"/>
      <c r="N29" s="20">
        <f>IF(H29=0,0,L29/H29)</f>
        <v>-0.6648188868165309</v>
      </c>
      <c r="O29" s="25"/>
      <c r="P29" s="21">
        <f>P12-P17</f>
        <v>6828.98</v>
      </c>
      <c r="Q29" s="13"/>
      <c r="R29" s="20">
        <f>IF(P$12=0,0,P29/P$12)</f>
        <v>0.41351318292849809</v>
      </c>
      <c r="S29" s="13"/>
      <c r="T29" s="21">
        <f>T12-T17</f>
        <v>21358</v>
      </c>
      <c r="U29" s="13"/>
      <c r="V29" s="20">
        <f>IF(T$12=0,0,T29/T$12)</f>
        <v>0.39302933274447022</v>
      </c>
      <c r="W29" s="16"/>
      <c r="X29" s="21">
        <f>+P29-T29</f>
        <v>-14529.02</v>
      </c>
      <c r="Y29" s="16"/>
      <c r="Z29" s="20">
        <f>IF(T29=0,0,X29/T29)</f>
        <v>-0.68026126041764212</v>
      </c>
    </row>
    <row r="30" spans="1:26" x14ac:dyDescent="0.3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3">
      <c r="A31" s="10"/>
      <c r="B31" s="25" t="s">
        <v>295</v>
      </c>
      <c r="C31" s="10"/>
      <c r="D31" s="22">
        <f>SUM(OSRRefD22x_0)</f>
        <v>3490.5</v>
      </c>
      <c r="E31" s="22"/>
      <c r="F31" s="31">
        <f t="shared" ref="F31:F40" si="12">IF(D$12=0,0,D31/D$12)</f>
        <v>0.21135920225449814</v>
      </c>
      <c r="G31" s="22"/>
      <c r="H31" s="22">
        <f>SUM(OSRRefH22x_0)</f>
        <v>10960.6322</v>
      </c>
      <c r="I31" s="22"/>
      <c r="J31" s="31">
        <f t="shared" ref="J31:J40" si="13">IF(H$12=0,0,H31/H$12)</f>
        <v>0.21087871710020009</v>
      </c>
      <c r="K31" s="4"/>
      <c r="L31" s="22">
        <f t="shared" ref="L31:L40" si="14">+D31-H31</f>
        <v>-7470.1322</v>
      </c>
      <c r="M31" s="4"/>
      <c r="N31" s="31">
        <f t="shared" ref="N31:N40" si="15">IF(H31=0,0,L31/H31)</f>
        <v>-0.68154209207020011</v>
      </c>
      <c r="O31" s="10"/>
      <c r="P31" s="22">
        <f>SUM(OSRRefP22x_0)</f>
        <v>4253.5</v>
      </c>
      <c r="Q31" s="22"/>
      <c r="R31" s="31">
        <f t="shared" ref="R31:R40" si="16">IF(P$12=0,0,P31/P$12)</f>
        <v>0.25756091298940204</v>
      </c>
      <c r="S31" s="22"/>
      <c r="T31" s="22">
        <f>SUM(OSRRefT22x_0)</f>
        <v>23232.672449999998</v>
      </c>
      <c r="U31" s="22"/>
      <c r="V31" s="31">
        <f t="shared" ref="V31:V40" si="17">IF(T$12=0,0,T31/T$12)</f>
        <v>0.42752700397482607</v>
      </c>
      <c r="W31" s="4"/>
      <c r="X31" s="22">
        <f t="shared" ref="X31:X40" si="18">+P31-T31</f>
        <v>-18979.172449999998</v>
      </c>
      <c r="Y31" s="4"/>
      <c r="Z31" s="31">
        <f t="shared" ref="Z31:Z40" si="19">IF(T31=0,0,X31/T31)</f>
        <v>-0.81691731723269745</v>
      </c>
    </row>
    <row r="32" spans="1:26" s="28" customFormat="1" outlineLevel="1" collapsed="1" x14ac:dyDescent="0.3">
      <c r="A32" s="29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SUM(OSRRefD22_0x_0)</f>
        <v>0</v>
      </c>
      <c r="E32" s="1"/>
      <c r="F32" s="5">
        <f t="shared" si="12"/>
        <v>0</v>
      </c>
      <c r="G32" s="1"/>
      <c r="H32" s="1">
        <f>SUM(OSRRefH22_0x_0)</f>
        <v>1049.6322</v>
      </c>
      <c r="I32" s="1"/>
      <c r="J32" s="5">
        <f t="shared" si="13"/>
        <v>2.0194555179313529E-2</v>
      </c>
      <c r="K32" s="1"/>
      <c r="L32" s="1">
        <f t="shared" si="14"/>
        <v>-1049.6322</v>
      </c>
      <c r="M32" s="1"/>
      <c r="N32" s="5">
        <f t="shared" si="15"/>
        <v>-1</v>
      </c>
      <c r="O32" s="14"/>
      <c r="P32" s="1">
        <f>SUM(OSRRefP22_0x_0)</f>
        <v>0</v>
      </c>
      <c r="Q32" s="1"/>
      <c r="R32" s="5">
        <f t="shared" si="16"/>
        <v>0</v>
      </c>
      <c r="S32" s="1"/>
      <c r="T32" s="1">
        <f>SUM(OSRRefT22_0x_0)</f>
        <v>2361.67245</v>
      </c>
      <c r="U32" s="1"/>
      <c r="V32" s="5">
        <f t="shared" si="17"/>
        <v>4.3459431931103014E-2</v>
      </c>
      <c r="W32" s="1"/>
      <c r="X32" s="1">
        <f t="shared" si="18"/>
        <v>-2361.67245</v>
      </c>
      <c r="Y32" s="1"/>
      <c r="Z32" s="5">
        <f t="shared" si="19"/>
        <v>-1</v>
      </c>
    </row>
    <row r="33" spans="1:26" s="24" customFormat="1" hidden="1" outlineLevel="2" x14ac:dyDescent="0.3">
      <c r="A33" s="27"/>
      <c r="B33" s="11" t="str">
        <f>CONCATENATE("          ", "6111", " - ", "F.I.C.A.")</f>
        <v xml:space="preserve">          6111 - F.I.C.A.</v>
      </c>
      <c r="C33" s="11"/>
      <c r="D33" s="6"/>
      <c r="E33" s="2"/>
      <c r="F33" s="7">
        <f t="shared" si="12"/>
        <v>0</v>
      </c>
      <c r="G33" s="2"/>
      <c r="H33" s="6">
        <v>622.95420000000001</v>
      </c>
      <c r="I33" s="2"/>
      <c r="J33" s="7">
        <f t="shared" si="13"/>
        <v>1.1985420193935663E-2</v>
      </c>
      <c r="K33" s="2"/>
      <c r="L33" s="6">
        <f t="shared" si="14"/>
        <v>-622.95420000000001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1401.6469500000001</v>
      </c>
      <c r="U33" s="2"/>
      <c r="V33" s="7">
        <f t="shared" si="17"/>
        <v>2.5793068896985759E-2</v>
      </c>
      <c r="W33" s="2"/>
      <c r="X33" s="6">
        <f t="shared" si="18"/>
        <v>-1401.6469500000001</v>
      </c>
      <c r="Y33" s="2"/>
      <c r="Z33" s="7">
        <f t="shared" si="19"/>
        <v>-1</v>
      </c>
    </row>
    <row r="34" spans="1:26" s="24" customFormat="1" hidden="1" outlineLevel="2" x14ac:dyDescent="0.3">
      <c r="A34" s="27"/>
      <c r="B34" s="11" t="str">
        <f>CONCATENATE("          ", "6112", " - ", "COMPENSATION INSURANCE")</f>
        <v xml:space="preserve">          6112 - COMPENSATION INSURANCE</v>
      </c>
      <c r="C34" s="11"/>
      <c r="D34" s="6"/>
      <c r="E34" s="2"/>
      <c r="F34" s="7">
        <f t="shared" si="12"/>
        <v>0</v>
      </c>
      <c r="G34" s="2"/>
      <c r="H34" s="6">
        <v>126.98399999999999</v>
      </c>
      <c r="I34" s="2"/>
      <c r="J34" s="7">
        <f t="shared" si="13"/>
        <v>2.4431275973526242E-3</v>
      </c>
      <c r="K34" s="2"/>
      <c r="L34" s="6">
        <f t="shared" si="14"/>
        <v>-126.98399999999999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285.714</v>
      </c>
      <c r="U34" s="2"/>
      <c r="V34" s="7">
        <f t="shared" si="17"/>
        <v>5.2577012255713811E-3</v>
      </c>
      <c r="W34" s="2"/>
      <c r="X34" s="6">
        <f t="shared" si="18"/>
        <v>-285.714</v>
      </c>
      <c r="Y34" s="2"/>
      <c r="Z34" s="7">
        <f t="shared" si="19"/>
        <v>-1</v>
      </c>
    </row>
    <row r="35" spans="1:26" s="24" customFormat="1" hidden="1" outlineLevel="2" x14ac:dyDescent="0.3">
      <c r="A35" s="27"/>
      <c r="B35" s="11" t="str">
        <f>CONCATENATE("          ", "6113", " - ", "GROUP INSURANCE")</f>
        <v xml:space="preserve">          6113 - GROUP INSURANCE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3">
      <c r="A36" s="27"/>
      <c r="B36" s="11" t="str">
        <f>CONCATENATE("          ", "6114", " - ", "STATE UNEMPLOYMENT INSURANCE")</f>
        <v xml:space="preserve">          6114 - STATE UNEMPLOYMENT INSURANCE</v>
      </c>
      <c r="C36" s="11"/>
      <c r="D36" s="6"/>
      <c r="E36" s="2"/>
      <c r="F36" s="7">
        <f t="shared" si="12"/>
        <v>0</v>
      </c>
      <c r="G36" s="2"/>
      <c r="H36" s="6">
        <v>17.094000000000001</v>
      </c>
      <c r="I36" s="2"/>
      <c r="J36" s="7">
        <f t="shared" si="13"/>
        <v>3.2888256118208405E-4</v>
      </c>
      <c r="K36" s="2"/>
      <c r="L36" s="6">
        <f t="shared" si="14"/>
        <v>-17.094000000000001</v>
      </c>
      <c r="M36" s="2"/>
      <c r="N36" s="7">
        <f t="shared" si="15"/>
        <v>-1</v>
      </c>
      <c r="O36" s="11"/>
      <c r="P36" s="6"/>
      <c r="Q36" s="2"/>
      <c r="R36" s="7">
        <f t="shared" si="16"/>
        <v>0</v>
      </c>
      <c r="S36" s="2"/>
      <c r="T36" s="6">
        <v>38.461500000000001</v>
      </c>
      <c r="U36" s="2"/>
      <c r="V36" s="7">
        <f t="shared" si="17"/>
        <v>7.0776747267307059E-4</v>
      </c>
      <c r="W36" s="2"/>
      <c r="X36" s="6">
        <f t="shared" si="18"/>
        <v>-38.461500000000001</v>
      </c>
      <c r="Y36" s="2"/>
      <c r="Z36" s="7">
        <f t="shared" si="19"/>
        <v>-1</v>
      </c>
    </row>
    <row r="37" spans="1:26" s="24" customFormat="1" hidden="1" outlineLevel="2" x14ac:dyDescent="0.3">
      <c r="A37" s="27"/>
      <c r="B37" s="11" t="str">
        <f>CONCATENATE("          ", "6115", " - ", "P.E.R.S.")</f>
        <v xml:space="preserve">          6115 - P.E.R.S.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3">
      <c r="A38" s="27"/>
      <c r="B38" s="11" t="str">
        <f>CONCATENATE("          ", "6116", " - ", "EDUCATIONAL BENEFITS")</f>
        <v xml:space="preserve">          6116 - EDUCATIONAL BENEFITS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3">
      <c r="A39" s="27"/>
      <c r="B39" s="11" t="str">
        <f>CONCATENATE("          ", "6118", " - ", "VACATION")</f>
        <v xml:space="preserve">          6118 - VACATION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7"/>
      <c r="B40" s="11" t="str">
        <f>CONCATENATE("          ", "6119", " - ", "SICK LEAVE")</f>
        <v xml:space="preserve">          6119 - SICK LEAVE</v>
      </c>
      <c r="C40" s="11"/>
      <c r="D40" s="6"/>
      <c r="E40" s="2"/>
      <c r="F40" s="7">
        <f t="shared" si="12"/>
        <v>0</v>
      </c>
      <c r="G40" s="2"/>
      <c r="H40" s="6">
        <v>282.60000000000002</v>
      </c>
      <c r="I40" s="2"/>
      <c r="J40" s="7">
        <f t="shared" si="13"/>
        <v>5.4371248268431588E-3</v>
      </c>
      <c r="K40" s="2"/>
      <c r="L40" s="6">
        <f t="shared" si="14"/>
        <v>-282.60000000000002</v>
      </c>
      <c r="M40" s="2"/>
      <c r="N40" s="7">
        <f t="shared" si="15"/>
        <v>-1</v>
      </c>
      <c r="O40" s="11"/>
      <c r="P40" s="6"/>
      <c r="Q40" s="2"/>
      <c r="R40" s="7">
        <f t="shared" si="16"/>
        <v>0</v>
      </c>
      <c r="S40" s="2"/>
      <c r="T40" s="6">
        <v>635.85</v>
      </c>
      <c r="U40" s="2"/>
      <c r="V40" s="7">
        <f t="shared" si="17"/>
        <v>1.1700894335872805E-2</v>
      </c>
      <c r="W40" s="2"/>
      <c r="X40" s="6">
        <f t="shared" si="18"/>
        <v>-635.85</v>
      </c>
      <c r="Y40" s="2"/>
      <c r="Z40" s="7">
        <f t="shared" si="19"/>
        <v>-1</v>
      </c>
    </row>
    <row r="41" spans="1:26" s="28" customFormat="1" outlineLevel="1" collapsed="1" x14ac:dyDescent="0.3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0</v>
      </c>
      <c r="E41" s="1"/>
      <c r="F41" s="5">
        <f t="shared" ref="F41:F51" si="20">IF(D$12=0,0,D41/D$12)</f>
        <v>0</v>
      </c>
      <c r="G41" s="1"/>
      <c r="H41" s="1">
        <f>SUM(OSRRefH22_1x_0)</f>
        <v>8044</v>
      </c>
      <c r="I41" s="1"/>
      <c r="J41" s="5">
        <f t="shared" ref="J41:J51" si="21">IF(H$12=0,0,H41/H$12)</f>
        <v>0.15476373710943511</v>
      </c>
      <c r="K41" s="1"/>
      <c r="L41" s="1">
        <f t="shared" ref="L41:L51" si="22">+D41-H41</f>
        <v>-8044</v>
      </c>
      <c r="M41" s="1"/>
      <c r="N41" s="5">
        <f t="shared" ref="N41:N51" si="23">IF(H41=0,0,L41/H41)</f>
        <v>-1</v>
      </c>
      <c r="O41" s="14"/>
      <c r="P41" s="1">
        <f>SUM(OSRRefP22_1x_0)</f>
        <v>0</v>
      </c>
      <c r="Q41" s="1"/>
      <c r="R41" s="5">
        <f t="shared" ref="R41:R51" si="24">IF(P$12=0,0,P41/P$12)</f>
        <v>0</v>
      </c>
      <c r="S41" s="1"/>
      <c r="T41" s="1">
        <f>SUM(OSRRefT22_1x_0)</f>
        <v>18099</v>
      </c>
      <c r="U41" s="1"/>
      <c r="V41" s="5">
        <f t="shared" ref="V41:V51" si="25">IF(T$12=0,0,T41/T$12)</f>
        <v>0.33305730374296122</v>
      </c>
      <c r="W41" s="1"/>
      <c r="X41" s="1">
        <f t="shared" ref="X41:X51" si="26">+P41-T41</f>
        <v>-18099</v>
      </c>
      <c r="Y41" s="1"/>
      <c r="Z41" s="5">
        <f t="shared" ref="Z41:Z51" si="27">IF(T41=0,0,X41/T41)</f>
        <v>-1</v>
      </c>
    </row>
    <row r="42" spans="1:26" s="24" customFormat="1" hidden="1" outlineLevel="2" x14ac:dyDescent="0.3">
      <c r="A42" s="27"/>
      <c r="B42" s="11" t="str">
        <f>CONCATENATE("          ", "6001", " - ", "ADMINISTRATIVE SALARIES")</f>
        <v xml:space="preserve">          6001 - ADMINISTRATIVE SALARIES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"6002", " - ", "STAFF SALARIES")</f>
        <v xml:space="preserve">          6002 - STAFF SALARIES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"6003", " - ", "STAFF HOURLY-9 MONTH")</f>
        <v xml:space="preserve">          6003 - STAFF HOURLY-9 MONTH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"6004", " - ", "STAFF HOURLY")</f>
        <v xml:space="preserve">          6004 - STAFF HOURLY</v>
      </c>
      <c r="C45" s="11"/>
      <c r="D45" s="6"/>
      <c r="E45" s="2"/>
      <c r="F45" s="7">
        <f t="shared" si="20"/>
        <v>0</v>
      </c>
      <c r="G45" s="2"/>
      <c r="H45" s="6">
        <v>1824</v>
      </c>
      <c r="I45" s="2"/>
      <c r="J45" s="7">
        <f t="shared" si="21"/>
        <v>3.5093119901492997E-2</v>
      </c>
      <c r="K45" s="2"/>
      <c r="L45" s="6">
        <f t="shared" si="22"/>
        <v>-1824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4104</v>
      </c>
      <c r="U45" s="2"/>
      <c r="V45" s="7">
        <f t="shared" si="25"/>
        <v>7.5521695925803239E-2</v>
      </c>
      <c r="W45" s="2"/>
      <c r="X45" s="6">
        <f t="shared" si="26"/>
        <v>-4104</v>
      </c>
      <c r="Y45" s="2"/>
      <c r="Z45" s="7">
        <f t="shared" si="27"/>
        <v>-1</v>
      </c>
    </row>
    <row r="46" spans="1:26" s="24" customFormat="1" hidden="1" outlineLevel="2" x14ac:dyDescent="0.3">
      <c r="A46" s="27"/>
      <c r="B46" s="11" t="str">
        <f>CONCATENATE("          ", "6005", " - ", "TEMPORARY WAGES-HOURLY")</f>
        <v xml:space="preserve">          6005 - TEMPORARY WAGES-HOURLY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"6006", " - ", "TEMPORARY PART TIME")</f>
        <v xml:space="preserve">          6006 - TEMPORARY PART TIME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3">
      <c r="A48" s="27"/>
      <c r="B48" s="11" t="str">
        <f>CONCATENATE("          ", "6007", " - ", "STUDENT HOURLY")</f>
        <v xml:space="preserve">          6007 - STUDENT HOURLY</v>
      </c>
      <c r="C48" s="11"/>
      <c r="D48" s="6"/>
      <c r="E48" s="2"/>
      <c r="F48" s="7">
        <f t="shared" si="20"/>
        <v>0</v>
      </c>
      <c r="G48" s="2"/>
      <c r="H48" s="6">
        <v>6220</v>
      </c>
      <c r="I48" s="2"/>
      <c r="J48" s="7">
        <f t="shared" si="21"/>
        <v>0.11967061720794213</v>
      </c>
      <c r="K48" s="2"/>
      <c r="L48" s="6">
        <f t="shared" si="22"/>
        <v>-6220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13995</v>
      </c>
      <c r="U48" s="2"/>
      <c r="V48" s="7">
        <f t="shared" si="25"/>
        <v>0.25753560781715801</v>
      </c>
      <c r="W48" s="2"/>
      <c r="X48" s="6">
        <f t="shared" si="26"/>
        <v>-13995</v>
      </c>
      <c r="Y48" s="2"/>
      <c r="Z48" s="7">
        <f t="shared" si="27"/>
        <v>-1</v>
      </c>
    </row>
    <row r="49" spans="1:26" s="24" customFormat="1" hidden="1" outlineLevel="2" x14ac:dyDescent="0.3">
      <c r="A49" s="27"/>
      <c r="B49" s="11" t="str">
        <f>CONCATENATE("          ", "6008", " - ", "STUDENT HOURLY-FICA EXEMPT")</f>
        <v xml:space="preserve">          6008 - STUDENT HOURLY-FICA EXEMPT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4" customFormat="1" hidden="1" outlineLevel="2" x14ac:dyDescent="0.3">
      <c r="A50" s="27"/>
      <c r="B50" s="11" t="str">
        <f>CONCATENATE("          ", "6009", " - ", "TEMPORARY-SEASONAL")</f>
        <v xml:space="preserve">          6009 - TEMPORARY-SEASONAL</v>
      </c>
      <c r="C50" s="11"/>
      <c r="D50" s="6"/>
      <c r="E50" s="2"/>
      <c r="F50" s="7">
        <f t="shared" si="20"/>
        <v>0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0</v>
      </c>
      <c r="M50" s="2"/>
      <c r="N50" s="7">
        <f t="shared" si="23"/>
        <v>0</v>
      </c>
      <c r="O50" s="11"/>
      <c r="P50" s="6"/>
      <c r="Q50" s="2"/>
      <c r="R50" s="7">
        <f t="shared" si="24"/>
        <v>0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0</v>
      </c>
      <c r="Y50" s="2"/>
      <c r="Z50" s="7">
        <f t="shared" si="27"/>
        <v>0</v>
      </c>
    </row>
    <row r="51" spans="1:26" s="24" customFormat="1" hidden="1" outlineLevel="2" x14ac:dyDescent="0.3">
      <c r="A51" s="27"/>
      <c r="B51" s="11" t="str">
        <f>CONCATENATE("          ", "6010", " - ", "GRATUITY")</f>
        <v xml:space="preserve">          6010 - GRATUITY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8" customFormat="1" outlineLevel="1" collapsed="1" x14ac:dyDescent="0.3">
      <c r="A52" s="29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35.28</v>
      </c>
      <c r="E52" s="1"/>
      <c r="F52" s="5">
        <f t="shared" ref="F52:F60" si="28">IF(D$12=0,0,D52/D$12)</f>
        <v>2.1362992853570248E-3</v>
      </c>
      <c r="G52" s="1"/>
      <c r="H52" s="1">
        <f>SUM(OSRRefH22_2x_0)</f>
        <v>50</v>
      </c>
      <c r="I52" s="1"/>
      <c r="J52" s="5">
        <f t="shared" ref="J52:J60" si="29">IF(H$12=0,0,H52/H$12)</f>
        <v>9.619824534400493E-4</v>
      </c>
      <c r="K52" s="1"/>
      <c r="L52" s="1">
        <f t="shared" ref="L52:L60" si="30">+D52-H52</f>
        <v>-14.719999999999999</v>
      </c>
      <c r="M52" s="1"/>
      <c r="N52" s="5">
        <f t="shared" ref="N52:N60" si="31">IF(H52=0,0,L52/H52)</f>
        <v>-0.2944</v>
      </c>
      <c r="O52" s="14"/>
      <c r="P52" s="1">
        <f>SUM(OSRRefP22_2x_0)</f>
        <v>135.28</v>
      </c>
      <c r="Q52" s="1"/>
      <c r="R52" s="5">
        <f t="shared" ref="R52:R60" si="32">IF(P$12=0,0,P52/P$12)</f>
        <v>8.1915693685685464E-3</v>
      </c>
      <c r="S52" s="1"/>
      <c r="T52" s="1">
        <f>SUM(OSRRefT22_2x_0)</f>
        <v>100</v>
      </c>
      <c r="U52" s="1"/>
      <c r="V52" s="5">
        <f t="shared" ref="V52:V60" si="33">IF(T$12=0,0,T52/T$12)</f>
        <v>1.8401972691472527E-3</v>
      </c>
      <c r="W52" s="1"/>
      <c r="X52" s="1">
        <f t="shared" ref="X52:X60" si="34">+P52-T52</f>
        <v>35.28</v>
      </c>
      <c r="Y52" s="1"/>
      <c r="Z52" s="5">
        <f t="shared" ref="Z52:Z60" si="35">IF(T52=0,0,X52/T52)</f>
        <v>0.3528</v>
      </c>
    </row>
    <row r="53" spans="1:26" s="24" customFormat="1" hidden="1" outlineLevel="2" x14ac:dyDescent="0.3">
      <c r="A53" s="27"/>
      <c r="B53" s="11" t="str">
        <f>CONCATENATE("          ", "6362", " - ", "ADVERTISING EXPENSE")</f>
        <v xml:space="preserve">          6362 - ADVERTISING EXPENSE</v>
      </c>
      <c r="C53" s="11"/>
      <c r="D53" s="6">
        <v>35.28</v>
      </c>
      <c r="E53" s="2"/>
      <c r="F53" s="7">
        <f t="shared" si="28"/>
        <v>2.1362992853570248E-3</v>
      </c>
      <c r="G53" s="2"/>
      <c r="H53" s="6">
        <v>50</v>
      </c>
      <c r="I53" s="2"/>
      <c r="J53" s="7">
        <f t="shared" si="29"/>
        <v>9.619824534400493E-4</v>
      </c>
      <c r="K53" s="2"/>
      <c r="L53" s="6">
        <f t="shared" si="30"/>
        <v>-14.719999999999999</v>
      </c>
      <c r="M53" s="2"/>
      <c r="N53" s="7">
        <f t="shared" si="31"/>
        <v>-0.2944</v>
      </c>
      <c r="O53" s="11"/>
      <c r="P53" s="6">
        <v>135.28</v>
      </c>
      <c r="Q53" s="2"/>
      <c r="R53" s="7">
        <f t="shared" si="32"/>
        <v>8.1915693685685464E-3</v>
      </c>
      <c r="S53" s="2"/>
      <c r="T53" s="6">
        <v>100</v>
      </c>
      <c r="U53" s="2"/>
      <c r="V53" s="7">
        <f t="shared" si="33"/>
        <v>1.8401972691472527E-3</v>
      </c>
      <c r="W53" s="2"/>
      <c r="X53" s="6">
        <f t="shared" si="34"/>
        <v>35.28</v>
      </c>
      <c r="Y53" s="2"/>
      <c r="Z53" s="7">
        <f t="shared" si="35"/>
        <v>0.3528</v>
      </c>
    </row>
    <row r="54" spans="1:26" s="28" customFormat="1" outlineLevel="1" collapsed="1" x14ac:dyDescent="0.3">
      <c r="A54" s="29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-1.66</v>
      </c>
      <c r="E54" s="1"/>
      <c r="F54" s="5">
        <f t="shared" si="28"/>
        <v>-1.0051748338131124E-4</v>
      </c>
      <c r="G54" s="1"/>
      <c r="H54" s="1">
        <f>SUM(OSRRefH22_3x_0)</f>
        <v>25</v>
      </c>
      <c r="I54" s="1"/>
      <c r="J54" s="5">
        <f t="shared" si="29"/>
        <v>4.8099122672002465E-4</v>
      </c>
      <c r="K54" s="1"/>
      <c r="L54" s="1">
        <f t="shared" si="30"/>
        <v>-26.66</v>
      </c>
      <c r="M54" s="1"/>
      <c r="N54" s="5">
        <f t="shared" si="31"/>
        <v>-1.0664</v>
      </c>
      <c r="O54" s="14"/>
      <c r="P54" s="1">
        <f>SUM(OSRRefP22_3x_0)</f>
        <v>-1.66</v>
      </c>
      <c r="Q54" s="1"/>
      <c r="R54" s="5">
        <f t="shared" si="32"/>
        <v>-1.0051748338131124E-4</v>
      </c>
      <c r="S54" s="1"/>
      <c r="T54" s="1">
        <f>SUM(OSRRefT22_3x_0)</f>
        <v>50</v>
      </c>
      <c r="U54" s="1"/>
      <c r="V54" s="5">
        <f t="shared" si="33"/>
        <v>9.2009863457362634E-4</v>
      </c>
      <c r="W54" s="1"/>
      <c r="X54" s="1">
        <f t="shared" si="34"/>
        <v>-51.66</v>
      </c>
      <c r="Y54" s="1"/>
      <c r="Z54" s="5">
        <f t="shared" si="35"/>
        <v>-1.0331999999999999</v>
      </c>
    </row>
    <row r="55" spans="1:26" s="24" customFormat="1" hidden="1" outlineLevel="2" x14ac:dyDescent="0.3">
      <c r="A55" s="27"/>
      <c r="B55" s="11" t="str">
        <f>CONCATENATE("          ", "6272", " - ", "CASH (OVER/SHORT)")</f>
        <v xml:space="preserve">          6272 - CASH (OVER/SHORT)</v>
      </c>
      <c r="C55" s="11"/>
      <c r="D55" s="6">
        <v>-1.66</v>
      </c>
      <c r="E55" s="2"/>
      <c r="F55" s="7">
        <f t="shared" si="28"/>
        <v>-1.0051748338131124E-4</v>
      </c>
      <c r="G55" s="2"/>
      <c r="H55" s="6">
        <v>25</v>
      </c>
      <c r="I55" s="2"/>
      <c r="J55" s="7">
        <f t="shared" si="29"/>
        <v>4.8099122672002465E-4</v>
      </c>
      <c r="K55" s="2"/>
      <c r="L55" s="6">
        <f t="shared" si="30"/>
        <v>-26.66</v>
      </c>
      <c r="M55" s="2"/>
      <c r="N55" s="7">
        <f t="shared" si="31"/>
        <v>-1.0664</v>
      </c>
      <c r="O55" s="11"/>
      <c r="P55" s="6">
        <v>-1.66</v>
      </c>
      <c r="Q55" s="2"/>
      <c r="R55" s="7">
        <f t="shared" si="32"/>
        <v>-1.0051748338131124E-4</v>
      </c>
      <c r="S55" s="2"/>
      <c r="T55" s="6">
        <v>50</v>
      </c>
      <c r="U55" s="2"/>
      <c r="V55" s="7">
        <f t="shared" si="33"/>
        <v>9.2009863457362634E-4</v>
      </c>
      <c r="W55" s="2"/>
      <c r="X55" s="6">
        <f t="shared" si="34"/>
        <v>-51.66</v>
      </c>
      <c r="Y55" s="2"/>
      <c r="Z55" s="7">
        <f t="shared" si="35"/>
        <v>-1.0331999999999999</v>
      </c>
    </row>
    <row r="56" spans="1:26" s="28" customFormat="1" outlineLevel="1" collapsed="1" x14ac:dyDescent="0.3">
      <c r="A56" s="29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0</v>
      </c>
      <c r="E56" s="1"/>
      <c r="F56" s="5">
        <f t="shared" si="28"/>
        <v>0</v>
      </c>
      <c r="G56" s="1"/>
      <c r="H56" s="1">
        <f>SUM(OSRRefH22_4x_0)</f>
        <v>1007</v>
      </c>
      <c r="I56" s="1"/>
      <c r="J56" s="5">
        <f t="shared" si="29"/>
        <v>1.9374326612282593E-2</v>
      </c>
      <c r="K56" s="1"/>
      <c r="L56" s="1">
        <f t="shared" si="30"/>
        <v>-1007</v>
      </c>
      <c r="M56" s="1"/>
      <c r="N56" s="5">
        <f t="shared" si="31"/>
        <v>-1</v>
      </c>
      <c r="O56" s="14"/>
      <c r="P56" s="1">
        <f>SUM(OSRRefP22_4x_0)</f>
        <v>0</v>
      </c>
      <c r="Q56" s="1"/>
      <c r="R56" s="5">
        <f t="shared" si="32"/>
        <v>0</v>
      </c>
      <c r="S56" s="1"/>
      <c r="T56" s="1">
        <f>SUM(OSRRefT22_4x_0)</f>
        <v>1052</v>
      </c>
      <c r="U56" s="1"/>
      <c r="V56" s="5">
        <f t="shared" si="33"/>
        <v>1.9358875271429096E-2</v>
      </c>
      <c r="W56" s="1"/>
      <c r="X56" s="1">
        <f t="shared" si="34"/>
        <v>-1052</v>
      </c>
      <c r="Y56" s="1"/>
      <c r="Z56" s="5">
        <f t="shared" si="35"/>
        <v>-1</v>
      </c>
    </row>
    <row r="57" spans="1:26" s="24" customFormat="1" hidden="1" outlineLevel="2" x14ac:dyDescent="0.3">
      <c r="A57" s="27"/>
      <c r="B57" s="11" t="str">
        <f>CONCATENATE("          ", "6381", " - ", "BANK/CREDIT CARD FEES")</f>
        <v xml:space="preserve">          6381 - BANK/CREDIT CARD FEES</v>
      </c>
      <c r="C57" s="11"/>
      <c r="D57" s="6"/>
      <c r="E57" s="2"/>
      <c r="F57" s="7">
        <f t="shared" si="28"/>
        <v>0</v>
      </c>
      <c r="G57" s="2"/>
      <c r="H57" s="6">
        <v>1007</v>
      </c>
      <c r="I57" s="2"/>
      <c r="J57" s="7">
        <f t="shared" si="29"/>
        <v>1.9374326612282593E-2</v>
      </c>
      <c r="K57" s="2"/>
      <c r="L57" s="6">
        <f t="shared" si="30"/>
        <v>-1007</v>
      </c>
      <c r="M57" s="2"/>
      <c r="N57" s="7">
        <f t="shared" si="31"/>
        <v>-1</v>
      </c>
      <c r="O57" s="11"/>
      <c r="P57" s="6"/>
      <c r="Q57" s="2"/>
      <c r="R57" s="7">
        <f t="shared" si="32"/>
        <v>0</v>
      </c>
      <c r="S57" s="2"/>
      <c r="T57" s="6">
        <v>1052</v>
      </c>
      <c r="U57" s="2"/>
      <c r="V57" s="7">
        <f t="shared" si="33"/>
        <v>1.9358875271429096E-2</v>
      </c>
      <c r="W57" s="2"/>
      <c r="X57" s="6">
        <f t="shared" si="34"/>
        <v>-1052</v>
      </c>
      <c r="Y57" s="2"/>
      <c r="Z57" s="7">
        <f t="shared" si="35"/>
        <v>-1</v>
      </c>
    </row>
    <row r="58" spans="1:26" s="28" customFormat="1" outlineLevel="1" collapsed="1" x14ac:dyDescent="0.3">
      <c r="A58" s="29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SUM(OSRRefD22_5x_0)</f>
        <v>-69.38</v>
      </c>
      <c r="E58" s="1"/>
      <c r="F58" s="5">
        <f t="shared" si="28"/>
        <v>-4.201146383732153E-3</v>
      </c>
      <c r="G58" s="1"/>
      <c r="H58" s="1">
        <f>SUM(OSRRefH22_5x_0)</f>
        <v>0</v>
      </c>
      <c r="I58" s="1"/>
      <c r="J58" s="5">
        <f t="shared" si="29"/>
        <v>0</v>
      </c>
      <c r="K58" s="1"/>
      <c r="L58" s="1">
        <f t="shared" si="30"/>
        <v>-69.38</v>
      </c>
      <c r="M58" s="1"/>
      <c r="N58" s="5">
        <f t="shared" si="31"/>
        <v>0</v>
      </c>
      <c r="O58" s="14"/>
      <c r="P58" s="1">
        <f>SUM(OSRRefP22_5x_0)</f>
        <v>-69.38</v>
      </c>
      <c r="Q58" s="1"/>
      <c r="R58" s="5">
        <f t="shared" si="32"/>
        <v>-4.201146383732153E-3</v>
      </c>
      <c r="S58" s="1"/>
      <c r="T58" s="1">
        <f>SUM(OSRRefT22_5x_0)</f>
        <v>0</v>
      </c>
      <c r="U58" s="1"/>
      <c r="V58" s="5">
        <f t="shared" si="33"/>
        <v>0</v>
      </c>
      <c r="W58" s="1"/>
      <c r="X58" s="1">
        <f t="shared" si="34"/>
        <v>-69.38</v>
      </c>
      <c r="Y58" s="1"/>
      <c r="Z58" s="5">
        <f t="shared" si="35"/>
        <v>0</v>
      </c>
    </row>
    <row r="59" spans="1:26" s="24" customFormat="1" hidden="1" outlineLevel="2" x14ac:dyDescent="0.3">
      <c r="A59" s="27"/>
      <c r="B59" s="11" t="str">
        <f>CONCATENATE("          ", "6382", " - ", "DISCOUNTS/MARK DOWNS")</f>
        <v xml:space="preserve">          6382 - DISCOUNTS/MARK DOWNS</v>
      </c>
      <c r="C59" s="11"/>
      <c r="D59" s="6"/>
      <c r="E59" s="2"/>
      <c r="F59" s="7">
        <f t="shared" si="28"/>
        <v>0</v>
      </c>
      <c r="G59" s="2"/>
      <c r="H59" s="6">
        <v>0</v>
      </c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/>
      <c r="Q59" s="2"/>
      <c r="R59" s="7">
        <f t="shared" si="32"/>
        <v>0</v>
      </c>
      <c r="S59" s="2"/>
      <c r="T59" s="6">
        <v>0</v>
      </c>
      <c r="U59" s="2"/>
      <c r="V59" s="7">
        <f t="shared" si="33"/>
        <v>0</v>
      </c>
      <c r="W59" s="2"/>
      <c r="X59" s="6">
        <f t="shared" si="34"/>
        <v>0</v>
      </c>
      <c r="Y59" s="2"/>
      <c r="Z59" s="7">
        <f t="shared" si="35"/>
        <v>0</v>
      </c>
    </row>
    <row r="60" spans="1:26" s="24" customFormat="1" hidden="1" outlineLevel="2" x14ac:dyDescent="0.3">
      <c r="A60" s="27"/>
      <c r="B60" s="11" t="str">
        <f>CONCATENATE("          ", "9175", " - ", "EARNED DISCOUNTS")</f>
        <v xml:space="preserve">          9175 - EARNED DISCOUNTS</v>
      </c>
      <c r="C60" s="11"/>
      <c r="D60" s="6">
        <v>-69.38</v>
      </c>
      <c r="E60" s="2"/>
      <c r="F60" s="7">
        <f t="shared" si="28"/>
        <v>-4.201146383732153E-3</v>
      </c>
      <c r="G60" s="2"/>
      <c r="H60" s="6"/>
      <c r="I60" s="2"/>
      <c r="J60" s="7">
        <f t="shared" si="29"/>
        <v>0</v>
      </c>
      <c r="K60" s="2"/>
      <c r="L60" s="6">
        <f t="shared" si="30"/>
        <v>-69.38</v>
      </c>
      <c r="M60" s="2"/>
      <c r="N60" s="7">
        <f t="shared" si="31"/>
        <v>0</v>
      </c>
      <c r="O60" s="11"/>
      <c r="P60" s="6">
        <v>-69.38</v>
      </c>
      <c r="Q60" s="2"/>
      <c r="R60" s="7">
        <f t="shared" si="32"/>
        <v>-4.201146383732153E-3</v>
      </c>
      <c r="S60" s="2"/>
      <c r="T60" s="6"/>
      <c r="U60" s="2"/>
      <c r="V60" s="7">
        <f t="shared" si="33"/>
        <v>0</v>
      </c>
      <c r="W60" s="2"/>
      <c r="X60" s="6">
        <f t="shared" si="34"/>
        <v>-69.38</v>
      </c>
      <c r="Y60" s="2"/>
      <c r="Z60" s="7">
        <f t="shared" si="35"/>
        <v>0</v>
      </c>
    </row>
    <row r="61" spans="1:26" s="28" customFormat="1" outlineLevel="1" collapsed="1" x14ac:dyDescent="0.3">
      <c r="A61" s="29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SUM(OSRRefD22_6x_0)</f>
        <v>20</v>
      </c>
      <c r="E61" s="1"/>
      <c r="F61" s="5">
        <f t="shared" ref="F61:F74" si="36">IF(D$12=0,0,D61/D$12)</f>
        <v>1.2110540166423043E-3</v>
      </c>
      <c r="G61" s="1"/>
      <c r="H61" s="1">
        <f>SUM(OSRRefH22_6x_0)</f>
        <v>0</v>
      </c>
      <c r="I61" s="1"/>
      <c r="J61" s="5">
        <f t="shared" ref="J61:J74" si="37">IF(H$12=0,0,H61/H$12)</f>
        <v>0</v>
      </c>
      <c r="K61" s="1"/>
      <c r="L61" s="1">
        <f t="shared" ref="L61:L74" si="38">+D61-H61</f>
        <v>20</v>
      </c>
      <c r="M61" s="1"/>
      <c r="N61" s="5">
        <f t="shared" ref="N61:N74" si="39">IF(H61=0,0,L61/H61)</f>
        <v>0</v>
      </c>
      <c r="O61" s="14"/>
      <c r="P61" s="1">
        <f>SUM(OSRRefP22_6x_0)</f>
        <v>20</v>
      </c>
      <c r="Q61" s="1"/>
      <c r="R61" s="5">
        <f t="shared" ref="R61:R74" si="40">IF(P$12=0,0,P61/P$12)</f>
        <v>1.2110540166423043E-3</v>
      </c>
      <c r="S61" s="1"/>
      <c r="T61" s="1">
        <f>SUM(OSRRefT22_6x_0)</f>
        <v>0</v>
      </c>
      <c r="U61" s="1"/>
      <c r="V61" s="5">
        <f t="shared" ref="V61:V74" si="41">IF(T$12=0,0,T61/T$12)</f>
        <v>0</v>
      </c>
      <c r="W61" s="1"/>
      <c r="X61" s="1">
        <f t="shared" ref="X61:X74" si="42">+P61-T61</f>
        <v>20</v>
      </c>
      <c r="Y61" s="1"/>
      <c r="Z61" s="5">
        <f t="shared" ref="Z61:Z74" si="43">IF(T61=0,0,X61/T61)</f>
        <v>0</v>
      </c>
    </row>
    <row r="62" spans="1:26" s="24" customFormat="1" hidden="1" outlineLevel="2" x14ac:dyDescent="0.3">
      <c r="A62" s="27"/>
      <c r="B62" s="11" t="str">
        <f>CONCATENATE("          ", "6307", " - ", "POSTAGE")</f>
        <v xml:space="preserve">          6307 - POSTAGE</v>
      </c>
      <c r="C62" s="11"/>
      <c r="D62" s="6">
        <v>20</v>
      </c>
      <c r="E62" s="2"/>
      <c r="F62" s="7">
        <f t="shared" si="36"/>
        <v>1.2110540166423043E-3</v>
      </c>
      <c r="G62" s="2"/>
      <c r="H62" s="6"/>
      <c r="I62" s="2"/>
      <c r="J62" s="7">
        <f t="shared" si="37"/>
        <v>0</v>
      </c>
      <c r="K62" s="2"/>
      <c r="L62" s="6">
        <f t="shared" si="38"/>
        <v>20</v>
      </c>
      <c r="M62" s="2"/>
      <c r="N62" s="7">
        <f t="shared" si="39"/>
        <v>0</v>
      </c>
      <c r="O62" s="11"/>
      <c r="P62" s="6">
        <v>20</v>
      </c>
      <c r="Q62" s="2"/>
      <c r="R62" s="7">
        <f t="shared" si="40"/>
        <v>1.2110540166423043E-3</v>
      </c>
      <c r="S62" s="2"/>
      <c r="T62" s="6"/>
      <c r="U62" s="2"/>
      <c r="V62" s="7">
        <f t="shared" si="41"/>
        <v>0</v>
      </c>
      <c r="W62" s="2"/>
      <c r="X62" s="6">
        <f t="shared" si="42"/>
        <v>20</v>
      </c>
      <c r="Y62" s="2"/>
      <c r="Z62" s="7">
        <f t="shared" si="43"/>
        <v>0</v>
      </c>
    </row>
    <row r="63" spans="1:26" s="28" customFormat="1" outlineLevel="1" collapsed="1" x14ac:dyDescent="0.3">
      <c r="A63" s="29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SUM(OSRRefD22_7x_0)</f>
        <v>228.04</v>
      </c>
      <c r="E63" s="1"/>
      <c r="F63" s="5">
        <f t="shared" si="36"/>
        <v>1.3808437897755552E-2</v>
      </c>
      <c r="G63" s="1"/>
      <c r="H63" s="1">
        <f>SUM(OSRRefH22_7x_0)</f>
        <v>0</v>
      </c>
      <c r="I63" s="1"/>
      <c r="J63" s="5">
        <f t="shared" si="37"/>
        <v>0</v>
      </c>
      <c r="K63" s="1"/>
      <c r="L63" s="1">
        <f t="shared" si="38"/>
        <v>228.04</v>
      </c>
      <c r="M63" s="1"/>
      <c r="N63" s="5">
        <f t="shared" si="39"/>
        <v>0</v>
      </c>
      <c r="O63" s="14"/>
      <c r="P63" s="1">
        <f>SUM(OSRRefP22_7x_0)</f>
        <v>228.04</v>
      </c>
      <c r="Q63" s="1"/>
      <c r="R63" s="5">
        <f t="shared" si="40"/>
        <v>1.3808437897755552E-2</v>
      </c>
      <c r="S63" s="1"/>
      <c r="T63" s="1">
        <f>SUM(OSRRefT22_7x_0)</f>
        <v>0</v>
      </c>
      <c r="U63" s="1"/>
      <c r="V63" s="5">
        <f t="shared" si="41"/>
        <v>0</v>
      </c>
      <c r="W63" s="1"/>
      <c r="X63" s="1">
        <f t="shared" si="42"/>
        <v>228.04</v>
      </c>
      <c r="Y63" s="1"/>
      <c r="Z63" s="5">
        <f t="shared" si="43"/>
        <v>0</v>
      </c>
    </row>
    <row r="64" spans="1:26" s="24" customFormat="1" hidden="1" outlineLevel="2" x14ac:dyDescent="0.3">
      <c r="A64" s="27"/>
      <c r="B64" s="11" t="str">
        <f>CONCATENATE("          ", "6279", " - ", "GENERAL EXPENSE")</f>
        <v xml:space="preserve">          6279 - GENERAL EXPENSE</v>
      </c>
      <c r="C64" s="11"/>
      <c r="D64" s="6">
        <v>228.04</v>
      </c>
      <c r="E64" s="2"/>
      <c r="F64" s="7">
        <f t="shared" si="36"/>
        <v>1.3808437897755552E-2</v>
      </c>
      <c r="G64" s="2"/>
      <c r="H64" s="6">
        <v>0</v>
      </c>
      <c r="I64" s="2"/>
      <c r="J64" s="7">
        <f t="shared" si="37"/>
        <v>0</v>
      </c>
      <c r="K64" s="2"/>
      <c r="L64" s="6">
        <f t="shared" si="38"/>
        <v>228.04</v>
      </c>
      <c r="M64" s="2"/>
      <c r="N64" s="7">
        <f t="shared" si="39"/>
        <v>0</v>
      </c>
      <c r="O64" s="11"/>
      <c r="P64" s="6">
        <v>228.04</v>
      </c>
      <c r="Q64" s="2"/>
      <c r="R64" s="7">
        <f t="shared" si="40"/>
        <v>1.3808437897755552E-2</v>
      </c>
      <c r="S64" s="2"/>
      <c r="T64" s="6">
        <v>0</v>
      </c>
      <c r="U64" s="2"/>
      <c r="V64" s="7">
        <f t="shared" si="41"/>
        <v>0</v>
      </c>
      <c r="W64" s="2"/>
      <c r="X64" s="6">
        <f t="shared" si="42"/>
        <v>228.04</v>
      </c>
      <c r="Y64" s="2"/>
      <c r="Z64" s="7">
        <f t="shared" si="43"/>
        <v>0</v>
      </c>
    </row>
    <row r="65" spans="1:26" s="28" customFormat="1" outlineLevel="1" collapsed="1" x14ac:dyDescent="0.3">
      <c r="A65" s="29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SUM(OSRRefD22_8x_0)</f>
        <v>650</v>
      </c>
      <c r="E65" s="1"/>
      <c r="F65" s="5">
        <f t="shared" si="36"/>
        <v>3.9359255540874889E-2</v>
      </c>
      <c r="G65" s="1"/>
      <c r="H65" s="1">
        <f>SUM(OSRRefH22_8x_0)</f>
        <v>650</v>
      </c>
      <c r="I65" s="1"/>
      <c r="J65" s="5">
        <f t="shared" si="37"/>
        <v>1.250577189472064E-2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SUM(OSRRefP22_8x_0)</f>
        <v>1300</v>
      </c>
      <c r="Q65" s="1"/>
      <c r="R65" s="5">
        <f t="shared" si="40"/>
        <v>7.8718511081749779E-2</v>
      </c>
      <c r="S65" s="1"/>
      <c r="T65" s="1">
        <f>SUM(OSRRefT22_8x_0)</f>
        <v>1300</v>
      </c>
      <c r="U65" s="1"/>
      <c r="V65" s="5">
        <f t="shared" si="41"/>
        <v>2.3922564498914285E-2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3">
      <c r="A66" s="27"/>
      <c r="B66" s="11" t="str">
        <f>CONCATENATE("          ", "6408", " - ", "INVENTORY ADJUSTMENT")</f>
        <v xml:space="preserve">          6408 - INVENTORY ADJUSTMENT</v>
      </c>
      <c r="C66" s="11"/>
      <c r="D66" s="6">
        <v>650</v>
      </c>
      <c r="E66" s="2"/>
      <c r="F66" s="7">
        <f t="shared" si="36"/>
        <v>3.9359255540874889E-2</v>
      </c>
      <c r="G66" s="2"/>
      <c r="H66" s="6">
        <v>650</v>
      </c>
      <c r="I66" s="2"/>
      <c r="J66" s="7">
        <f t="shared" si="37"/>
        <v>1.250577189472064E-2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1300</v>
      </c>
      <c r="Q66" s="2"/>
      <c r="R66" s="7">
        <f t="shared" si="40"/>
        <v>7.8718511081749779E-2</v>
      </c>
      <c r="S66" s="2"/>
      <c r="T66" s="6">
        <v>1300</v>
      </c>
      <c r="U66" s="2"/>
      <c r="V66" s="7">
        <f t="shared" si="41"/>
        <v>2.3922564498914285E-2</v>
      </c>
      <c r="W66" s="2"/>
      <c r="X66" s="6">
        <f t="shared" si="42"/>
        <v>0</v>
      </c>
      <c r="Y66" s="2"/>
      <c r="Z66" s="7">
        <f t="shared" si="43"/>
        <v>0</v>
      </c>
    </row>
    <row r="67" spans="1:26" s="28" customFormat="1" outlineLevel="1" collapsed="1" x14ac:dyDescent="0.3">
      <c r="A67" s="29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SUM(OSRRefD22_9x_0)</f>
        <v>173.68</v>
      </c>
      <c r="E67" s="1"/>
      <c r="F67" s="5">
        <f t="shared" si="36"/>
        <v>1.051679308052177E-2</v>
      </c>
      <c r="G67" s="1"/>
      <c r="H67" s="1">
        <f>SUM(OSRRefH22_9x_0)</f>
        <v>0</v>
      </c>
      <c r="I67" s="1"/>
      <c r="J67" s="5">
        <f t="shared" si="37"/>
        <v>0</v>
      </c>
      <c r="K67" s="1"/>
      <c r="L67" s="1">
        <f t="shared" si="38"/>
        <v>173.68</v>
      </c>
      <c r="M67" s="1"/>
      <c r="N67" s="5">
        <f t="shared" si="39"/>
        <v>0</v>
      </c>
      <c r="O67" s="14"/>
      <c r="P67" s="1">
        <f>SUM(OSRRefP22_9x_0)</f>
        <v>173.68</v>
      </c>
      <c r="Q67" s="1"/>
      <c r="R67" s="5">
        <f t="shared" si="40"/>
        <v>1.051679308052177E-2</v>
      </c>
      <c r="S67" s="1"/>
      <c r="T67" s="1">
        <f>SUM(OSRRefT22_9x_0)</f>
        <v>0</v>
      </c>
      <c r="U67" s="1"/>
      <c r="V67" s="5">
        <f t="shared" si="41"/>
        <v>0</v>
      </c>
      <c r="W67" s="1"/>
      <c r="X67" s="1">
        <f t="shared" si="42"/>
        <v>173.68</v>
      </c>
      <c r="Y67" s="1"/>
      <c r="Z67" s="5">
        <f t="shared" si="43"/>
        <v>0</v>
      </c>
    </row>
    <row r="68" spans="1:26" s="24" customFormat="1" hidden="1" outlineLevel="2" x14ac:dyDescent="0.3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173.68</v>
      </c>
      <c r="E68" s="2"/>
      <c r="F68" s="7">
        <f t="shared" si="36"/>
        <v>1.051679308052177E-2</v>
      </c>
      <c r="G68" s="2"/>
      <c r="H68" s="6"/>
      <c r="I68" s="2"/>
      <c r="J68" s="7">
        <f t="shared" si="37"/>
        <v>0</v>
      </c>
      <c r="K68" s="2"/>
      <c r="L68" s="6">
        <f t="shared" si="38"/>
        <v>173.68</v>
      </c>
      <c r="M68" s="2"/>
      <c r="N68" s="7">
        <f t="shared" si="39"/>
        <v>0</v>
      </c>
      <c r="O68" s="11"/>
      <c r="P68" s="6">
        <v>173.68</v>
      </c>
      <c r="Q68" s="2"/>
      <c r="R68" s="7">
        <f t="shared" si="40"/>
        <v>1.051679308052177E-2</v>
      </c>
      <c r="S68" s="2"/>
      <c r="T68" s="6"/>
      <c r="U68" s="2"/>
      <c r="V68" s="7">
        <f t="shared" si="41"/>
        <v>0</v>
      </c>
      <c r="W68" s="2"/>
      <c r="X68" s="6">
        <f t="shared" si="42"/>
        <v>173.68</v>
      </c>
      <c r="Y68" s="2"/>
      <c r="Z68" s="7">
        <f t="shared" si="43"/>
        <v>0</v>
      </c>
    </row>
    <row r="69" spans="1:26" s="28" customFormat="1" outlineLevel="1" collapsed="1" x14ac:dyDescent="0.3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SUM(OSRRefD22_10x_0)</f>
        <v>2301.4899999999998</v>
      </c>
      <c r="E69" s="1"/>
      <c r="F69" s="5">
        <f t="shared" si="36"/>
        <v>0.13936143543810484</v>
      </c>
      <c r="G69" s="1"/>
      <c r="H69" s="1">
        <f>SUM(OSRRefH22_10x_0)</f>
        <v>0</v>
      </c>
      <c r="I69" s="1"/>
      <c r="J69" s="5">
        <f t="shared" si="37"/>
        <v>0</v>
      </c>
      <c r="K69" s="1"/>
      <c r="L69" s="1">
        <f t="shared" si="38"/>
        <v>2301.4899999999998</v>
      </c>
      <c r="M69" s="1"/>
      <c r="N69" s="5">
        <f t="shared" si="39"/>
        <v>0</v>
      </c>
      <c r="O69" s="14"/>
      <c r="P69" s="1">
        <f>SUM(OSRRefP22_10x_0)</f>
        <v>2301.4899999999998</v>
      </c>
      <c r="Q69" s="1"/>
      <c r="R69" s="5">
        <f t="shared" si="40"/>
        <v>0.13936143543810484</v>
      </c>
      <c r="S69" s="1"/>
      <c r="T69" s="1">
        <f>SUM(OSRRefT22_10x_0)</f>
        <v>0</v>
      </c>
      <c r="U69" s="1"/>
      <c r="V69" s="5">
        <f t="shared" si="41"/>
        <v>0</v>
      </c>
      <c r="W69" s="1"/>
      <c r="X69" s="1">
        <f t="shared" si="42"/>
        <v>2301.4899999999998</v>
      </c>
      <c r="Y69" s="1"/>
      <c r="Z69" s="5">
        <f t="shared" si="43"/>
        <v>0</v>
      </c>
    </row>
    <row r="70" spans="1:26" s="24" customFormat="1" hidden="1" outlineLevel="2" x14ac:dyDescent="0.3">
      <c r="A70" s="27"/>
      <c r="B70" s="11" t="str">
        <f>CONCATENATE("          ", "6285", " - ", "JANITORIAL SERVICES")</f>
        <v xml:space="preserve">          6285 - JANITORIAL SERVICES</v>
      </c>
      <c r="C70" s="11"/>
      <c r="D70" s="6">
        <v>2301.4899999999998</v>
      </c>
      <c r="E70" s="2"/>
      <c r="F70" s="7">
        <f t="shared" si="36"/>
        <v>0.13936143543810484</v>
      </c>
      <c r="G70" s="2"/>
      <c r="H70" s="6"/>
      <c r="I70" s="2"/>
      <c r="J70" s="7">
        <f t="shared" si="37"/>
        <v>0</v>
      </c>
      <c r="K70" s="2"/>
      <c r="L70" s="6">
        <f t="shared" si="38"/>
        <v>2301.4899999999998</v>
      </c>
      <c r="M70" s="2"/>
      <c r="N70" s="7">
        <f t="shared" si="39"/>
        <v>0</v>
      </c>
      <c r="O70" s="11"/>
      <c r="P70" s="6">
        <v>2301.4899999999998</v>
      </c>
      <c r="Q70" s="2"/>
      <c r="R70" s="7">
        <f t="shared" si="40"/>
        <v>0.13936143543810484</v>
      </c>
      <c r="S70" s="2"/>
      <c r="T70" s="6"/>
      <c r="U70" s="2"/>
      <c r="V70" s="7">
        <f t="shared" si="41"/>
        <v>0</v>
      </c>
      <c r="W70" s="2"/>
      <c r="X70" s="6">
        <f t="shared" si="42"/>
        <v>2301.4899999999998</v>
      </c>
      <c r="Y70" s="2"/>
      <c r="Z70" s="7">
        <f t="shared" si="43"/>
        <v>0</v>
      </c>
    </row>
    <row r="71" spans="1:26" s="28" customFormat="1" outlineLevel="1" collapsed="1" x14ac:dyDescent="0.3">
      <c r="A71" s="29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SUM(OSRRefD22_11x_0)</f>
        <v>100.05</v>
      </c>
      <c r="E71" s="1"/>
      <c r="F71" s="5">
        <f t="shared" si="36"/>
        <v>6.0582977182531269E-3</v>
      </c>
      <c r="G71" s="1"/>
      <c r="H71" s="1">
        <f>SUM(OSRRefH22_11x_0)</f>
        <v>75</v>
      </c>
      <c r="I71" s="1"/>
      <c r="J71" s="5">
        <f t="shared" si="37"/>
        <v>1.4429736801600738E-3</v>
      </c>
      <c r="K71" s="1"/>
      <c r="L71" s="1">
        <f t="shared" si="38"/>
        <v>25.049999999999997</v>
      </c>
      <c r="M71" s="1"/>
      <c r="N71" s="5">
        <f t="shared" si="39"/>
        <v>0.33399999999999996</v>
      </c>
      <c r="O71" s="14"/>
      <c r="P71" s="1">
        <f>SUM(OSRRefP22_11x_0)</f>
        <v>100.05</v>
      </c>
      <c r="Q71" s="1"/>
      <c r="R71" s="5">
        <f t="shared" si="40"/>
        <v>6.0582977182531269E-3</v>
      </c>
      <c r="S71" s="1"/>
      <c r="T71" s="1">
        <f>SUM(OSRRefT22_11x_0)</f>
        <v>150</v>
      </c>
      <c r="U71" s="1"/>
      <c r="V71" s="5">
        <f t="shared" si="41"/>
        <v>2.7602959037208788E-3</v>
      </c>
      <c r="W71" s="1"/>
      <c r="X71" s="1">
        <f t="shared" si="42"/>
        <v>-49.95</v>
      </c>
      <c r="Y71" s="1"/>
      <c r="Z71" s="5">
        <f t="shared" si="43"/>
        <v>-0.33300000000000002</v>
      </c>
    </row>
    <row r="72" spans="1:26" s="24" customFormat="1" hidden="1" outlineLevel="2" x14ac:dyDescent="0.3">
      <c r="A72" s="27"/>
      <c r="B72" s="11" t="str">
        <f>CONCATENATE("          ", "6235", " - ", "COVID-19 EXPENSES")</f>
        <v xml:space="preserve">          6235 - COVID-19 EXPENSES</v>
      </c>
      <c r="C72" s="11"/>
      <c r="D72" s="6"/>
      <c r="E72" s="2"/>
      <c r="F72" s="7">
        <f t="shared" si="36"/>
        <v>0</v>
      </c>
      <c r="G72" s="2"/>
      <c r="H72" s="6">
        <v>25</v>
      </c>
      <c r="I72" s="2"/>
      <c r="J72" s="7">
        <f t="shared" si="37"/>
        <v>4.8099122672002465E-4</v>
      </c>
      <c r="K72" s="2"/>
      <c r="L72" s="6">
        <f t="shared" si="38"/>
        <v>-25</v>
      </c>
      <c r="M72" s="2"/>
      <c r="N72" s="7">
        <f t="shared" si="39"/>
        <v>-1</v>
      </c>
      <c r="O72" s="11"/>
      <c r="P72" s="6"/>
      <c r="Q72" s="2"/>
      <c r="R72" s="7">
        <f t="shared" si="40"/>
        <v>0</v>
      </c>
      <c r="S72" s="2"/>
      <c r="T72" s="6">
        <v>50</v>
      </c>
      <c r="U72" s="2"/>
      <c r="V72" s="7">
        <f t="shared" si="41"/>
        <v>9.2009863457362634E-4</v>
      </c>
      <c r="W72" s="2"/>
      <c r="X72" s="6">
        <f t="shared" si="42"/>
        <v>-50</v>
      </c>
      <c r="Y72" s="2"/>
      <c r="Z72" s="7">
        <f t="shared" si="43"/>
        <v>-1</v>
      </c>
    </row>
    <row r="73" spans="1:26" s="24" customFormat="1" hidden="1" outlineLevel="2" x14ac:dyDescent="0.3">
      <c r="A73" s="27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36"/>
        <v>0</v>
      </c>
      <c r="G73" s="2"/>
      <c r="H73" s="6">
        <v>25</v>
      </c>
      <c r="I73" s="2"/>
      <c r="J73" s="7">
        <f t="shared" si="37"/>
        <v>4.8099122672002465E-4</v>
      </c>
      <c r="K73" s="2"/>
      <c r="L73" s="6">
        <f t="shared" si="38"/>
        <v>-25</v>
      </c>
      <c r="M73" s="2"/>
      <c r="N73" s="7">
        <f t="shared" si="39"/>
        <v>-1</v>
      </c>
      <c r="O73" s="11"/>
      <c r="P73" s="6"/>
      <c r="Q73" s="2"/>
      <c r="R73" s="7">
        <f t="shared" si="40"/>
        <v>0</v>
      </c>
      <c r="S73" s="2"/>
      <c r="T73" s="6">
        <v>50</v>
      </c>
      <c r="U73" s="2"/>
      <c r="V73" s="7">
        <f t="shared" si="41"/>
        <v>9.2009863457362634E-4</v>
      </c>
      <c r="W73" s="2"/>
      <c r="X73" s="6">
        <f t="shared" si="42"/>
        <v>-50</v>
      </c>
      <c r="Y73" s="2"/>
      <c r="Z73" s="7">
        <f t="shared" si="43"/>
        <v>-1</v>
      </c>
    </row>
    <row r="74" spans="1:26" s="24" customFormat="1" hidden="1" outlineLevel="2" x14ac:dyDescent="0.3">
      <c r="A74" s="27"/>
      <c r="B74" s="11" t="str">
        <f>CONCATENATE("          ", "6247", " - ", "STORE SUPPLIES")</f>
        <v xml:space="preserve">          6247 - STORE SUPPLIES</v>
      </c>
      <c r="C74" s="11"/>
      <c r="D74" s="6">
        <v>100.05</v>
      </c>
      <c r="E74" s="2"/>
      <c r="F74" s="7">
        <f t="shared" si="36"/>
        <v>6.0582977182531269E-3</v>
      </c>
      <c r="G74" s="2"/>
      <c r="H74" s="6">
        <v>25</v>
      </c>
      <c r="I74" s="2"/>
      <c r="J74" s="7">
        <f t="shared" si="37"/>
        <v>4.8099122672002465E-4</v>
      </c>
      <c r="K74" s="2"/>
      <c r="L74" s="6">
        <f t="shared" si="38"/>
        <v>75.05</v>
      </c>
      <c r="M74" s="2"/>
      <c r="N74" s="7">
        <f t="shared" si="39"/>
        <v>3.0019999999999998</v>
      </c>
      <c r="O74" s="11"/>
      <c r="P74" s="6">
        <v>100.05</v>
      </c>
      <c r="Q74" s="2"/>
      <c r="R74" s="7">
        <f t="shared" si="40"/>
        <v>6.0582977182531269E-3</v>
      </c>
      <c r="S74" s="2"/>
      <c r="T74" s="6">
        <v>50</v>
      </c>
      <c r="U74" s="2"/>
      <c r="V74" s="7">
        <f t="shared" si="41"/>
        <v>9.2009863457362634E-4</v>
      </c>
      <c r="W74" s="2"/>
      <c r="X74" s="6">
        <f t="shared" si="42"/>
        <v>50.05</v>
      </c>
      <c r="Y74" s="2"/>
      <c r="Z74" s="7">
        <f t="shared" si="43"/>
        <v>1.0009999999999999</v>
      </c>
    </row>
    <row r="75" spans="1:26" s="28" customFormat="1" outlineLevel="1" collapsed="1" x14ac:dyDescent="0.3">
      <c r="A75" s="29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53</v>
      </c>
      <c r="E75" s="1"/>
      <c r="F75" s="5">
        <f t="shared" ref="F75:F76" si="44">IF(D$12=0,0,D75/D$12)</f>
        <v>3.2092931441021063E-3</v>
      </c>
      <c r="G75" s="1"/>
      <c r="H75" s="1">
        <f>SUM(OSRRefH22_12x_0)</f>
        <v>60</v>
      </c>
      <c r="I75" s="1"/>
      <c r="J75" s="5">
        <f t="shared" ref="J75:J76" si="45">IF(H$12=0,0,H75/H$12)</f>
        <v>1.1543789441280591E-3</v>
      </c>
      <c r="K75" s="1"/>
      <c r="L75" s="1">
        <f t="shared" ref="L75:L76" si="46">+D75-H75</f>
        <v>-7</v>
      </c>
      <c r="M75" s="1"/>
      <c r="N75" s="5">
        <f t="shared" ref="N75:N76" si="47">IF(H75=0,0,L75/H75)</f>
        <v>-0.11666666666666667</v>
      </c>
      <c r="O75" s="14"/>
      <c r="P75" s="1">
        <f>SUM(OSRRefP22_12x_0)</f>
        <v>66</v>
      </c>
      <c r="Q75" s="1"/>
      <c r="R75" s="5">
        <f t="shared" ref="R75:R76" si="48">IF(P$12=0,0,P75/P$12)</f>
        <v>3.996478254919604E-3</v>
      </c>
      <c r="S75" s="1"/>
      <c r="T75" s="1">
        <f>SUM(OSRRefT22_12x_0)</f>
        <v>120</v>
      </c>
      <c r="U75" s="1"/>
      <c r="V75" s="5">
        <f t="shared" ref="V75:V76" si="49">IF(T$12=0,0,T75/T$12)</f>
        <v>2.208236722976703E-3</v>
      </c>
      <c r="W75" s="1"/>
      <c r="X75" s="1">
        <f t="shared" ref="X75:X76" si="50">+P75-T75</f>
        <v>-54</v>
      </c>
      <c r="Y75" s="1"/>
      <c r="Z75" s="5">
        <f t="shared" ref="Z75:Z76" si="51">IF(T75=0,0,X75/T75)</f>
        <v>-0.45</v>
      </c>
    </row>
    <row r="76" spans="1:26" s="24" customFormat="1" hidden="1" outlineLevel="2" x14ac:dyDescent="0.3">
      <c r="A76" s="27"/>
      <c r="B76" s="11" t="str">
        <f>CONCATENATE("          ", "6309", " - ", "TELEPHONE")</f>
        <v xml:space="preserve">          6309 - TELEPHONE</v>
      </c>
      <c r="C76" s="11"/>
      <c r="D76" s="6">
        <v>53</v>
      </c>
      <c r="E76" s="2"/>
      <c r="F76" s="7">
        <f t="shared" si="44"/>
        <v>3.2092931441021063E-3</v>
      </c>
      <c r="G76" s="2"/>
      <c r="H76" s="6">
        <v>60</v>
      </c>
      <c r="I76" s="2"/>
      <c r="J76" s="7">
        <f t="shared" si="45"/>
        <v>1.1543789441280591E-3</v>
      </c>
      <c r="K76" s="2"/>
      <c r="L76" s="6">
        <f t="shared" si="46"/>
        <v>-7</v>
      </c>
      <c r="M76" s="2"/>
      <c r="N76" s="7">
        <f t="shared" si="47"/>
        <v>-0.11666666666666667</v>
      </c>
      <c r="O76" s="11"/>
      <c r="P76" s="6">
        <v>66</v>
      </c>
      <c r="Q76" s="2"/>
      <c r="R76" s="7">
        <f t="shared" si="48"/>
        <v>3.996478254919604E-3</v>
      </c>
      <c r="S76" s="2"/>
      <c r="T76" s="6">
        <v>120</v>
      </c>
      <c r="U76" s="2"/>
      <c r="V76" s="7">
        <f t="shared" si="49"/>
        <v>2.208236722976703E-3</v>
      </c>
      <c r="W76" s="2"/>
      <c r="X76" s="6">
        <f t="shared" si="50"/>
        <v>-54</v>
      </c>
      <c r="Y76" s="2"/>
      <c r="Z76" s="7">
        <f t="shared" si="51"/>
        <v>-0.45</v>
      </c>
    </row>
    <row r="77" spans="1:26" s="53" customFormat="1" x14ac:dyDescent="0.3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3">
      <c r="A78" s="10"/>
      <c r="B78" s="25" t="s">
        <v>293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3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">
      <c r="A80" s="10"/>
      <c r="B80" s="26" t="s">
        <v>277</v>
      </c>
      <c r="C80" s="26"/>
      <c r="D80" s="21">
        <f>+D29-D31+D78</f>
        <v>3338.4799999999996</v>
      </c>
      <c r="E80" s="13"/>
      <c r="F80" s="20">
        <f>IF(D$12=0,0,D80/D$12)</f>
        <v>0.20215398067399998</v>
      </c>
      <c r="G80" s="13"/>
      <c r="H80" s="21">
        <f>+H29-H31+H78</f>
        <v>9413.3678</v>
      </c>
      <c r="I80" s="13"/>
      <c r="J80" s="20">
        <f>IF(H$12=0,0,H80/H$12)</f>
        <v>0.18110989302755118</v>
      </c>
      <c r="K80" s="16"/>
      <c r="L80" s="21">
        <f>+D80-H80</f>
        <v>-6074.8878000000004</v>
      </c>
      <c r="M80" s="16"/>
      <c r="N80" s="20">
        <f>IF(H80=0,0,L80/H80)</f>
        <v>-0.64534690761790914</v>
      </c>
      <c r="O80" s="25"/>
      <c r="P80" s="21">
        <f>+P29-P31+P78</f>
        <v>2575.4799999999996</v>
      </c>
      <c r="Q80" s="13"/>
      <c r="R80" s="20">
        <f>IF(P$12=0,0,P80/P$12)</f>
        <v>0.15595226993909606</v>
      </c>
      <c r="S80" s="13"/>
      <c r="T80" s="21">
        <f>+T29-T31+T78</f>
        <v>-1874.6724499999982</v>
      </c>
      <c r="U80" s="13"/>
      <c r="V80" s="20">
        <f>IF(T$12=0,0,T80/T$12)</f>
        <v>-3.449767123035586E-2</v>
      </c>
      <c r="W80" s="16"/>
      <c r="X80" s="21">
        <f>+P80-T80</f>
        <v>4450.1524499999978</v>
      </c>
      <c r="Y80" s="16"/>
      <c r="Z80" s="20">
        <f>IF(T80=0,0,X80/T80)</f>
        <v>-2.3738293321588002</v>
      </c>
    </row>
    <row r="81" spans="1:26" x14ac:dyDescent="0.3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">
      <c r="A82" s="52"/>
      <c r="B82" s="10" t="s">
        <v>128</v>
      </c>
      <c r="C82" s="10"/>
      <c r="D82" s="4">
        <v>2467.8200000000002</v>
      </c>
      <c r="E82" s="4"/>
      <c r="F82" s="12">
        <f>IF(D$12=0,0,D82/D$12)</f>
        <v>0.14943316616751057</v>
      </c>
      <c r="G82" s="4"/>
      <c r="H82" s="4">
        <v>5229</v>
      </c>
      <c r="I82" s="4"/>
      <c r="J82" s="12">
        <f>IF(H$12=0,0,H82/H$12)</f>
        <v>0.10060412498076035</v>
      </c>
      <c r="K82" s="4"/>
      <c r="L82" s="4">
        <f>+D82-H82</f>
        <v>-2761.18</v>
      </c>
      <c r="M82" s="4"/>
      <c r="N82" s="12">
        <f>IF(H82=0,0,L82/H82)</f>
        <v>-0.52805125262956587</v>
      </c>
      <c r="O82" s="10"/>
      <c r="P82" s="4">
        <v>2467.8200000000002</v>
      </c>
      <c r="Q82" s="4"/>
      <c r="R82" s="12">
        <f>IF(P$12=0,0,P82/P$12)</f>
        <v>0.14943316616751057</v>
      </c>
      <c r="S82" s="4"/>
      <c r="T82" s="4">
        <v>6086</v>
      </c>
      <c r="U82" s="4"/>
      <c r="V82" s="12">
        <f>IF(T$12=0,0,T82/T$12)</f>
        <v>0.11199440580030179</v>
      </c>
      <c r="W82" s="4"/>
      <c r="X82" s="4">
        <f>+P82-T82</f>
        <v>-3618.18</v>
      </c>
      <c r="Y82" s="4"/>
      <c r="Z82" s="12">
        <f>IF(T82=0,0,X82/T82)</f>
        <v>-0.59450870851133741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35">
      <c r="A84" s="10"/>
      <c r="B84" s="26" t="s">
        <v>126</v>
      </c>
      <c r="C84" s="26"/>
      <c r="D84" s="30">
        <f>+D80-D82</f>
        <v>870.6599999999994</v>
      </c>
      <c r="E84" s="13"/>
      <c r="F84" s="35">
        <f>IF(D$12=0,0,D84/D$12)</f>
        <v>5.2720814506489397E-2</v>
      </c>
      <c r="G84" s="13"/>
      <c r="H84" s="30">
        <f>+H80-H82</f>
        <v>4184.3678</v>
      </c>
      <c r="I84" s="13"/>
      <c r="J84" s="35">
        <f>IF(H$12=0,0,H84/H$12)</f>
        <v>8.0505768046790827E-2</v>
      </c>
      <c r="K84" s="16"/>
      <c r="L84" s="30">
        <f>D84-H84</f>
        <v>-3313.7078000000006</v>
      </c>
      <c r="M84" s="16"/>
      <c r="N84" s="35">
        <f>IF(H84=0,0,L84/H84)</f>
        <v>-0.79192555683083132</v>
      </c>
      <c r="O84" s="25"/>
      <c r="P84" s="30">
        <f>+P80-P82</f>
        <v>107.6599999999994</v>
      </c>
      <c r="Q84" s="13"/>
      <c r="R84" s="35">
        <f>IF(P$12=0,0,P84/P$12)</f>
        <v>6.5191037715854874E-3</v>
      </c>
      <c r="S84" s="13"/>
      <c r="T84" s="30">
        <f>+T80-T82</f>
        <v>-7960.6724499999982</v>
      </c>
      <c r="U84" s="13"/>
      <c r="V84" s="35">
        <f>IF(T$12=0,0,T84/T$12)</f>
        <v>-0.14649207703065764</v>
      </c>
      <c r="W84" s="16"/>
      <c r="X84" s="30">
        <f>P84-T84</f>
        <v>8068.3324499999981</v>
      </c>
      <c r="Y84" s="16"/>
      <c r="Z84" s="35">
        <f>IF(T84=0,0,X84/T84)</f>
        <v>-1.0135239831403942</v>
      </c>
    </row>
    <row r="85" spans="1:26" ht="15" thickTop="1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" thickBot="1" x14ac:dyDescent="0.35">
      <c r="A87" s="10"/>
      <c r="B87" s="26" t="s">
        <v>294</v>
      </c>
      <c r="C87" s="26"/>
      <c r="D87" s="32">
        <f>SUM(D84:D86)</f>
        <v>870.6599999999994</v>
      </c>
      <c r="E87" s="13"/>
      <c r="F87" s="34">
        <f>IF(D$12=0,0,D87/D$12)</f>
        <v>5.2720814506489397E-2</v>
      </c>
      <c r="G87" s="13"/>
      <c r="H87" s="32">
        <f>SUM(H84:H86)</f>
        <v>4184.3678</v>
      </c>
      <c r="I87" s="13"/>
      <c r="J87" s="34">
        <f>IF(H$12=0,0,H87/H$12)</f>
        <v>8.0505768046790827E-2</v>
      </c>
      <c r="K87" s="16"/>
      <c r="L87" s="32">
        <f>+D87-H87</f>
        <v>-3313.7078000000006</v>
      </c>
      <c r="M87" s="16"/>
      <c r="N87" s="34">
        <f>IF(H87=0,0,L87/H87)</f>
        <v>-0.79192555683083132</v>
      </c>
      <c r="O87" s="25"/>
      <c r="P87" s="32">
        <f>SUM(P84:P86)</f>
        <v>107.6599999999994</v>
      </c>
      <c r="Q87" s="13"/>
      <c r="R87" s="34">
        <f>IF(P$12=0,0,P87/P$12)</f>
        <v>6.5191037715854874E-3</v>
      </c>
      <c r="S87" s="13"/>
      <c r="T87" s="32">
        <f>SUM(T84:T86)</f>
        <v>-7960.6724499999982</v>
      </c>
      <c r="U87" s="13"/>
      <c r="V87" s="34">
        <f>IF(T$12=0,0,T87/T$12)</f>
        <v>-0.14649207703065764</v>
      </c>
      <c r="W87" s="16"/>
      <c r="X87" s="32">
        <f>+P87-T87</f>
        <v>8068.3324499999981</v>
      </c>
      <c r="Y87" s="16"/>
      <c r="Z87" s="34">
        <f>IF(T87=0,0,X87/T87)</f>
        <v>-1.0135239831403942</v>
      </c>
    </row>
    <row r="88" spans="1:26" ht="15" thickTop="1" x14ac:dyDescent="0.3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A89" s="9"/>
      <c r="B89" s="61">
        <v>44470.835506400465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8" t="s">
        <v>56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55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","307", " - ", "Art Store")</f>
        <v>Department 307 - Art 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16514.54</v>
      </c>
      <c r="E12" s="4"/>
      <c r="F12" s="12"/>
      <c r="G12" s="4"/>
      <c r="H12" s="4">
        <f>SUM(OSRRefH13x_0)</f>
        <v>51976</v>
      </c>
      <c r="I12" s="4"/>
      <c r="J12" s="12"/>
      <c r="K12" s="4"/>
      <c r="L12" s="4">
        <f t="shared" ref="L12:L15" si="0">+D12-H12</f>
        <v>-35461.46</v>
      </c>
      <c r="M12" s="4"/>
      <c r="N12" s="12">
        <f t="shared" ref="N12:N15" si="1">IF(H12=0,0,L12/H12)</f>
        <v>-0.68226604586732331</v>
      </c>
      <c r="O12" s="10"/>
      <c r="P12" s="4">
        <f>SUM(OSRRefP13x_0)</f>
        <v>16514.54</v>
      </c>
      <c r="Q12" s="4"/>
      <c r="R12" s="12"/>
      <c r="S12" s="4"/>
      <c r="T12" s="4">
        <f>SUM(OSRRefT13x_0)</f>
        <v>54342</v>
      </c>
      <c r="U12" s="4"/>
      <c r="V12" s="12"/>
      <c r="W12" s="4"/>
      <c r="X12" s="4">
        <f t="shared" ref="X12:X15" si="2">+P12-T12</f>
        <v>-37827.46</v>
      </c>
      <c r="Y12" s="4"/>
      <c r="Z12" s="12">
        <f t="shared" ref="Z12:Z15" si="3">IF(T12=0,0,X12/T12)</f>
        <v>-0.69609988590776928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--15152.58</f>
        <v>15152.58</v>
      </c>
      <c r="E13" s="2"/>
      <c r="F13" s="19"/>
      <c r="G13" s="2"/>
      <c r="H13" s="2">
        <v>46162</v>
      </c>
      <c r="I13" s="2"/>
      <c r="J13" s="19"/>
      <c r="K13" s="2"/>
      <c r="L13" s="2">
        <f t="shared" si="0"/>
        <v>-31009.42</v>
      </c>
      <c r="M13" s="2"/>
      <c r="N13" s="19">
        <f t="shared" si="1"/>
        <v>-0.67175209046401796</v>
      </c>
      <c r="O13" s="11"/>
      <c r="P13" s="2">
        <f>--15152.58</f>
        <v>15152.58</v>
      </c>
      <c r="Q13" s="2"/>
      <c r="R13" s="19"/>
      <c r="S13" s="2"/>
      <c r="T13" s="2">
        <v>47973</v>
      </c>
      <c r="U13" s="2"/>
      <c r="V13" s="19"/>
      <c r="W13" s="2"/>
      <c r="X13" s="2">
        <f t="shared" si="2"/>
        <v>-32820.42</v>
      </c>
      <c r="Y13" s="2"/>
      <c r="Z13" s="19">
        <f t="shared" si="3"/>
        <v>-0.6841435807641798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--1628.53</f>
        <v>1628.53</v>
      </c>
      <c r="E14" s="2"/>
      <c r="F14" s="19"/>
      <c r="G14" s="2"/>
      <c r="H14" s="2">
        <v>5814</v>
      </c>
      <c r="I14" s="2"/>
      <c r="J14" s="19"/>
      <c r="K14" s="2"/>
      <c r="L14" s="2">
        <f t="shared" si="0"/>
        <v>-4185.47</v>
      </c>
      <c r="M14" s="2"/>
      <c r="N14" s="19">
        <f t="shared" si="1"/>
        <v>-0.71989508083935327</v>
      </c>
      <c r="O14" s="11"/>
      <c r="P14" s="2">
        <f>--1628.53</f>
        <v>1628.53</v>
      </c>
      <c r="Q14" s="2"/>
      <c r="R14" s="19"/>
      <c r="S14" s="2"/>
      <c r="T14" s="2">
        <v>6369</v>
      </c>
      <c r="U14" s="2"/>
      <c r="V14" s="19"/>
      <c r="W14" s="2"/>
      <c r="X14" s="2">
        <f t="shared" si="2"/>
        <v>-4740.47</v>
      </c>
      <c r="Y14" s="2"/>
      <c r="Z14" s="19">
        <f t="shared" si="3"/>
        <v>-0.74430365834510914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-266.57</f>
        <v>-266.57</v>
      </c>
      <c r="E15" s="2"/>
      <c r="F15" s="19"/>
      <c r="G15" s="2"/>
      <c r="H15" s="2"/>
      <c r="I15" s="2"/>
      <c r="J15" s="19"/>
      <c r="K15" s="2"/>
      <c r="L15" s="2">
        <f t="shared" si="0"/>
        <v>-266.57</v>
      </c>
      <c r="M15" s="2"/>
      <c r="N15" s="19">
        <f t="shared" si="1"/>
        <v>0</v>
      </c>
      <c r="O15" s="11"/>
      <c r="P15" s="2">
        <f>-266.57</f>
        <v>-266.57</v>
      </c>
      <c r="Q15" s="2"/>
      <c r="R15" s="19"/>
      <c r="S15" s="2"/>
      <c r="T15" s="2"/>
      <c r="U15" s="2"/>
      <c r="V15" s="19"/>
      <c r="W15" s="2"/>
      <c r="X15" s="2">
        <f t="shared" si="2"/>
        <v>-266.57</v>
      </c>
      <c r="Y15" s="2"/>
      <c r="Z15" s="19">
        <f t="shared" si="3"/>
        <v>0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9685.5600000000013</v>
      </c>
      <c r="E17" s="4"/>
      <c r="F17" s="12">
        <f t="shared" ref="F17:F27" si="4">IF(D$12=0,0,D17/D$12)</f>
        <v>0.58648681707150185</v>
      </c>
      <c r="G17" s="4"/>
      <c r="H17" s="4">
        <f>SUM(OSRRefH16x_0)</f>
        <v>31602</v>
      </c>
      <c r="I17" s="4"/>
      <c r="J17" s="12">
        <f t="shared" ref="J17:J27" si="5">IF(H$12=0,0,H17/H$12)</f>
        <v>0.60801138987224868</v>
      </c>
      <c r="K17" s="4"/>
      <c r="L17" s="4">
        <f t="shared" ref="L17:L27" si="6">+D17-H17</f>
        <v>-21916.44</v>
      </c>
      <c r="M17" s="4"/>
      <c r="N17" s="12">
        <f t="shared" ref="N17:N27" si="7">IF(H17=0,0,L17/H17)</f>
        <v>-0.69351433453578881</v>
      </c>
      <c r="O17" s="10"/>
      <c r="P17" s="4">
        <f>SUM(OSRRefP16x_0)</f>
        <v>9685.5600000000013</v>
      </c>
      <c r="Q17" s="4"/>
      <c r="R17" s="12">
        <f t="shared" ref="R17:R27" si="8">IF(P$12=0,0,P17/P$12)</f>
        <v>0.58648681707150185</v>
      </c>
      <c r="S17" s="4"/>
      <c r="T17" s="4">
        <f>SUM(OSRRefT16x_0)</f>
        <v>32984</v>
      </c>
      <c r="U17" s="4"/>
      <c r="V17" s="12">
        <f t="shared" ref="V17:V27" si="9">IF(T$12=0,0,T17/T$12)</f>
        <v>0.60697066725552984</v>
      </c>
      <c r="W17" s="4"/>
      <c r="X17" s="4">
        <f t="shared" ref="X17:X27" si="10">+P17-T17</f>
        <v>-23298.44</v>
      </c>
      <c r="Y17" s="4"/>
      <c r="Z17" s="12">
        <f t="shared" ref="Z17:Z27" si="11">IF(T17=0,0,X17/T17)</f>
        <v>-0.7063558088770312</v>
      </c>
    </row>
    <row r="18" spans="1:26" s="24" customFormat="1" hidden="1" outlineLevel="1" x14ac:dyDescent="0.3">
      <c r="A18" s="44"/>
      <c r="B18" s="11" t="str">
        <f>CONCATENATE("          ", "5000", " - ", "PURCHASES @ COST")</f>
        <v xml:space="preserve">          5000 - PURCHASES @ COST</v>
      </c>
      <c r="C18" s="11"/>
      <c r="D18" s="2">
        <v>13695.29</v>
      </c>
      <c r="E18" s="2"/>
      <c r="F18" s="19">
        <f t="shared" si="4"/>
        <v>0.82928679817905915</v>
      </c>
      <c r="G18" s="2"/>
      <c r="H18" s="2">
        <v>31602</v>
      </c>
      <c r="I18" s="2"/>
      <c r="J18" s="19">
        <f t="shared" si="5"/>
        <v>0.60801138987224868</v>
      </c>
      <c r="K18" s="2"/>
      <c r="L18" s="2">
        <f t="shared" si="6"/>
        <v>-17906.71</v>
      </c>
      <c r="M18" s="2"/>
      <c r="N18" s="19">
        <f t="shared" si="7"/>
        <v>-0.56663217517878617</v>
      </c>
      <c r="O18" s="11"/>
      <c r="P18" s="2">
        <v>13695.29</v>
      </c>
      <c r="Q18" s="2"/>
      <c r="R18" s="19">
        <f t="shared" si="8"/>
        <v>0.82928679817905915</v>
      </c>
      <c r="S18" s="2"/>
      <c r="T18" s="2">
        <v>32984</v>
      </c>
      <c r="U18" s="2"/>
      <c r="V18" s="19">
        <f t="shared" si="9"/>
        <v>0.60697066725552984</v>
      </c>
      <c r="W18" s="2"/>
      <c r="X18" s="2">
        <f t="shared" si="10"/>
        <v>-19288.71</v>
      </c>
      <c r="Y18" s="2"/>
      <c r="Z18" s="19">
        <f t="shared" si="11"/>
        <v>-0.58478989813242777</v>
      </c>
    </row>
    <row r="19" spans="1:26" s="24" customFormat="1" hidden="1" outlineLevel="1" x14ac:dyDescent="0.3">
      <c r="A19" s="44"/>
      <c r="B19" s="11" t="str">
        <f>CONCATENATE("          ", "5026", " - ", "PURCHASES @ COST-WRITING INSTR")</f>
        <v xml:space="preserve">          5026 - PURCHASES @ COST-WRITING INSTR</v>
      </c>
      <c r="C19" s="11"/>
      <c r="D19" s="2">
        <v>0</v>
      </c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0</v>
      </c>
      <c r="Q19" s="2"/>
      <c r="R19" s="19">
        <f t="shared" si="8"/>
        <v>0</v>
      </c>
      <c r="S19" s="2"/>
      <c r="T19" s="2"/>
      <c r="U19" s="2"/>
      <c r="V19" s="19">
        <f t="shared" si="9"/>
        <v>0</v>
      </c>
      <c r="W19" s="2"/>
      <c r="X19" s="2">
        <f t="shared" si="10"/>
        <v>0</v>
      </c>
      <c r="Y19" s="2"/>
      <c r="Z19" s="19">
        <f t="shared" si="11"/>
        <v>0</v>
      </c>
    </row>
    <row r="20" spans="1:26" s="24" customFormat="1" hidden="1" outlineLevel="1" x14ac:dyDescent="0.3">
      <c r="A20" s="44"/>
      <c r="B20" s="11" t="str">
        <f>CONCATENATE("          ", "5027", " - ", "PURCHASES @ COST-SCHOOL SUPPLI")</f>
        <v xml:space="preserve">          5027 - PURCHASES @ COST-SCHOOL SUPPLI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"5028", " - ", "PURCHASES @ COST-ART/TECH")</f>
        <v xml:space="preserve">          5028 - PURCHASES @ COST-ART/TECH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"5031", " - ", "PURCHASES @ COST-FOOD")</f>
        <v xml:space="preserve">          5031 - PURCHASES @ COST-FOOD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"5042", " - ", "PURCHASES @ COST-EVERYDAY GIFT")</f>
        <v xml:space="preserve">          5042 - PURCHASES @ COST-EVERYDAY GIFT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-13837.74</v>
      </c>
      <c r="E24" s="2"/>
      <c r="F24" s="19">
        <f t="shared" si="4"/>
        <v>-0.83791253041259395</v>
      </c>
      <c r="G24" s="2"/>
      <c r="H24" s="2"/>
      <c r="I24" s="2"/>
      <c r="J24" s="19">
        <f t="shared" si="5"/>
        <v>0</v>
      </c>
      <c r="K24" s="2"/>
      <c r="L24" s="2">
        <f t="shared" si="6"/>
        <v>-13837.74</v>
      </c>
      <c r="M24" s="2"/>
      <c r="N24" s="19">
        <f t="shared" si="7"/>
        <v>0</v>
      </c>
      <c r="O24" s="11"/>
      <c r="P24" s="2">
        <v>-13837.74</v>
      </c>
      <c r="Q24" s="2"/>
      <c r="R24" s="19">
        <f t="shared" si="8"/>
        <v>-0.83791253041259395</v>
      </c>
      <c r="S24" s="2"/>
      <c r="T24" s="2"/>
      <c r="U24" s="2"/>
      <c r="V24" s="19">
        <f t="shared" si="9"/>
        <v>0</v>
      </c>
      <c r="W24" s="2"/>
      <c r="X24" s="2">
        <f t="shared" si="10"/>
        <v>-13837.74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"5300", " - ", "COG$ OFFSET")</f>
        <v xml:space="preserve">          5300 - COG$ OFFSET</v>
      </c>
      <c r="C25" s="11"/>
      <c r="D25" s="2">
        <v>9685.56</v>
      </c>
      <c r="E25" s="2"/>
      <c r="F25" s="19">
        <f t="shared" si="4"/>
        <v>0.58648681707150174</v>
      </c>
      <c r="G25" s="2"/>
      <c r="H25" s="2"/>
      <c r="I25" s="2"/>
      <c r="J25" s="19">
        <f t="shared" si="5"/>
        <v>0</v>
      </c>
      <c r="K25" s="2"/>
      <c r="L25" s="2">
        <f t="shared" si="6"/>
        <v>9685.56</v>
      </c>
      <c r="M25" s="2"/>
      <c r="N25" s="19">
        <f t="shared" si="7"/>
        <v>0</v>
      </c>
      <c r="O25" s="11"/>
      <c r="P25" s="2">
        <v>9685.56</v>
      </c>
      <c r="Q25" s="2"/>
      <c r="R25" s="19">
        <f t="shared" si="8"/>
        <v>0.58648681707150174</v>
      </c>
      <c r="S25" s="2"/>
      <c r="T25" s="2"/>
      <c r="U25" s="2"/>
      <c r="V25" s="19">
        <f t="shared" si="9"/>
        <v>0</v>
      </c>
      <c r="W25" s="2"/>
      <c r="X25" s="2">
        <f t="shared" si="10"/>
        <v>9685.56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"5500", " - ", "FREIGHT-IN")</f>
        <v xml:space="preserve">          5500 - FREIGHT-IN</v>
      </c>
      <c r="C26" s="11"/>
      <c r="D26" s="2">
        <v>142.44999999999999</v>
      </c>
      <c r="E26" s="2"/>
      <c r="F26" s="19">
        <f t="shared" si="4"/>
        <v>8.6257322335348118E-3</v>
      </c>
      <c r="G26" s="2"/>
      <c r="H26" s="2"/>
      <c r="I26" s="2"/>
      <c r="J26" s="19">
        <f t="shared" si="5"/>
        <v>0</v>
      </c>
      <c r="K26" s="2"/>
      <c r="L26" s="2">
        <f t="shared" si="6"/>
        <v>142.44999999999999</v>
      </c>
      <c r="M26" s="2"/>
      <c r="N26" s="19">
        <f t="shared" si="7"/>
        <v>0</v>
      </c>
      <c r="O26" s="11"/>
      <c r="P26" s="2">
        <v>142.44999999999999</v>
      </c>
      <c r="Q26" s="2"/>
      <c r="R26" s="19">
        <f t="shared" si="8"/>
        <v>8.6257322335348118E-3</v>
      </c>
      <c r="S26" s="2"/>
      <c r="T26" s="2"/>
      <c r="U26" s="2"/>
      <c r="V26" s="19">
        <f t="shared" si="9"/>
        <v>0</v>
      </c>
      <c r="W26" s="2"/>
      <c r="X26" s="2">
        <f t="shared" si="10"/>
        <v>142.44999999999999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"5528", " - ", "FREIGHT-IN-ART/TECH")</f>
        <v xml:space="preserve">          5528 - FREIGHT-IN-ART/TECH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10"/>
      <c r="B29" s="26" t="s">
        <v>108</v>
      </c>
      <c r="C29" s="26"/>
      <c r="D29" s="21">
        <f>D12-D17</f>
        <v>6828.98</v>
      </c>
      <c r="E29" s="13"/>
      <c r="F29" s="20">
        <f>IF(D$12=0,0,D29/D$12)</f>
        <v>0.41351318292849809</v>
      </c>
      <c r="G29" s="13"/>
      <c r="H29" s="21">
        <f>H12-H17</f>
        <v>20374</v>
      </c>
      <c r="I29" s="13"/>
      <c r="J29" s="20">
        <f>IF(H$12=0,0,H29/H$12)</f>
        <v>0.39198861012775127</v>
      </c>
      <c r="K29" s="16"/>
      <c r="L29" s="21">
        <f>+D29-H29</f>
        <v>-13545.02</v>
      </c>
      <c r="M29" s="16"/>
      <c r="N29" s="20">
        <f>IF(H29=0,0,L29/H29)</f>
        <v>-0.6648188868165309</v>
      </c>
      <c r="O29" s="25"/>
      <c r="P29" s="21">
        <f>P12-P17</f>
        <v>6828.98</v>
      </c>
      <c r="Q29" s="13"/>
      <c r="R29" s="20">
        <f>IF(P$12=0,0,P29/P$12)</f>
        <v>0.41351318292849809</v>
      </c>
      <c r="S29" s="13"/>
      <c r="T29" s="21">
        <f>T12-T17</f>
        <v>21358</v>
      </c>
      <c r="U29" s="13"/>
      <c r="V29" s="20">
        <f>IF(T$12=0,0,T29/T$12)</f>
        <v>0.39302933274447022</v>
      </c>
      <c r="W29" s="16"/>
      <c r="X29" s="21">
        <f>+P29-T29</f>
        <v>-14529.02</v>
      </c>
      <c r="Y29" s="16"/>
      <c r="Z29" s="20">
        <f>IF(T29=0,0,X29/T29)</f>
        <v>-0.68026126041764212</v>
      </c>
    </row>
    <row r="30" spans="1:26" x14ac:dyDescent="0.3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3">
      <c r="A31" s="10"/>
      <c r="B31" s="25" t="s">
        <v>295</v>
      </c>
      <c r="C31" s="10"/>
      <c r="D31" s="22">
        <f>SUM(OSRRefD22x_0)</f>
        <v>3490.5</v>
      </c>
      <c r="E31" s="22"/>
      <c r="F31" s="31">
        <f t="shared" ref="F31:F40" si="12">IF(D$12=0,0,D31/D$12)</f>
        <v>0.21135920225449814</v>
      </c>
      <c r="G31" s="22"/>
      <c r="H31" s="22">
        <f>SUM(OSRRefH22x_0)</f>
        <v>10960.6322</v>
      </c>
      <c r="I31" s="22"/>
      <c r="J31" s="31">
        <f t="shared" ref="J31:J40" si="13">IF(H$12=0,0,H31/H$12)</f>
        <v>0.21087871710020009</v>
      </c>
      <c r="K31" s="4"/>
      <c r="L31" s="22">
        <f t="shared" ref="L31:L40" si="14">+D31-H31</f>
        <v>-7470.1322</v>
      </c>
      <c r="M31" s="4"/>
      <c r="N31" s="31">
        <f t="shared" ref="N31:N40" si="15">IF(H31=0,0,L31/H31)</f>
        <v>-0.68154209207020011</v>
      </c>
      <c r="O31" s="10"/>
      <c r="P31" s="22">
        <f>SUM(OSRRefP22x_0)</f>
        <v>4253.5</v>
      </c>
      <c r="Q31" s="22"/>
      <c r="R31" s="31">
        <f t="shared" ref="R31:R40" si="16">IF(P$12=0,0,P31/P$12)</f>
        <v>0.25756091298940204</v>
      </c>
      <c r="S31" s="22"/>
      <c r="T31" s="22">
        <f>SUM(OSRRefT22x_0)</f>
        <v>23232.672449999998</v>
      </c>
      <c r="U31" s="22"/>
      <c r="V31" s="31">
        <f t="shared" ref="V31:V40" si="17">IF(T$12=0,0,T31/T$12)</f>
        <v>0.42752700397482607</v>
      </c>
      <c r="W31" s="4"/>
      <c r="X31" s="22">
        <f t="shared" ref="X31:X40" si="18">+P31-T31</f>
        <v>-18979.172449999998</v>
      </c>
      <c r="Y31" s="4"/>
      <c r="Z31" s="31">
        <f t="shared" ref="Z31:Z40" si="19">IF(T31=0,0,X31/T31)</f>
        <v>-0.81691731723269745</v>
      </c>
    </row>
    <row r="32" spans="1:26" s="28" customFormat="1" outlineLevel="1" collapsed="1" x14ac:dyDescent="0.3">
      <c r="A32" s="29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SUM(OSRRefD22_0x_0)</f>
        <v>0</v>
      </c>
      <c r="E32" s="1"/>
      <c r="F32" s="5">
        <f t="shared" si="12"/>
        <v>0</v>
      </c>
      <c r="G32" s="1"/>
      <c r="H32" s="1">
        <f>SUM(OSRRefH22_0x_0)</f>
        <v>1049.6322</v>
      </c>
      <c r="I32" s="1"/>
      <c r="J32" s="5">
        <f t="shared" si="13"/>
        <v>2.0194555179313529E-2</v>
      </c>
      <c r="K32" s="1"/>
      <c r="L32" s="1">
        <f t="shared" si="14"/>
        <v>-1049.6322</v>
      </c>
      <c r="M32" s="1"/>
      <c r="N32" s="5">
        <f t="shared" si="15"/>
        <v>-1</v>
      </c>
      <c r="O32" s="14"/>
      <c r="P32" s="1">
        <f>SUM(OSRRefP22_0x_0)</f>
        <v>0</v>
      </c>
      <c r="Q32" s="1"/>
      <c r="R32" s="5">
        <f t="shared" si="16"/>
        <v>0</v>
      </c>
      <c r="S32" s="1"/>
      <c r="T32" s="1">
        <f>SUM(OSRRefT22_0x_0)</f>
        <v>2361.67245</v>
      </c>
      <c r="U32" s="1"/>
      <c r="V32" s="5">
        <f t="shared" si="17"/>
        <v>4.3459431931103014E-2</v>
      </c>
      <c r="W32" s="1"/>
      <c r="X32" s="1">
        <f t="shared" si="18"/>
        <v>-2361.67245</v>
      </c>
      <c r="Y32" s="1"/>
      <c r="Z32" s="5">
        <f t="shared" si="19"/>
        <v>-1</v>
      </c>
    </row>
    <row r="33" spans="1:26" s="24" customFormat="1" hidden="1" outlineLevel="2" x14ac:dyDescent="0.3">
      <c r="A33" s="27"/>
      <c r="B33" s="11" t="str">
        <f>CONCATENATE("          ", "6111", " - ", "F.I.C.A.")</f>
        <v xml:space="preserve">          6111 - F.I.C.A.</v>
      </c>
      <c r="C33" s="11"/>
      <c r="D33" s="6"/>
      <c r="E33" s="2"/>
      <c r="F33" s="7">
        <f t="shared" si="12"/>
        <v>0</v>
      </c>
      <c r="G33" s="2"/>
      <c r="H33" s="6">
        <v>622.95420000000001</v>
      </c>
      <c r="I33" s="2"/>
      <c r="J33" s="7">
        <f t="shared" si="13"/>
        <v>1.1985420193935663E-2</v>
      </c>
      <c r="K33" s="2"/>
      <c r="L33" s="6">
        <f t="shared" si="14"/>
        <v>-622.95420000000001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1401.6469500000001</v>
      </c>
      <c r="U33" s="2"/>
      <c r="V33" s="7">
        <f t="shared" si="17"/>
        <v>2.5793068896985759E-2</v>
      </c>
      <c r="W33" s="2"/>
      <c r="X33" s="6">
        <f t="shared" si="18"/>
        <v>-1401.6469500000001</v>
      </c>
      <c r="Y33" s="2"/>
      <c r="Z33" s="7">
        <f t="shared" si="19"/>
        <v>-1</v>
      </c>
    </row>
    <row r="34" spans="1:26" s="24" customFormat="1" hidden="1" outlineLevel="2" x14ac:dyDescent="0.3">
      <c r="A34" s="27"/>
      <c r="B34" s="11" t="str">
        <f>CONCATENATE("          ", "6112", " - ", "COMPENSATION INSURANCE")</f>
        <v xml:space="preserve">          6112 - COMPENSATION INSURANCE</v>
      </c>
      <c r="C34" s="11"/>
      <c r="D34" s="6"/>
      <c r="E34" s="2"/>
      <c r="F34" s="7">
        <f t="shared" si="12"/>
        <v>0</v>
      </c>
      <c r="G34" s="2"/>
      <c r="H34" s="6">
        <v>126.98399999999999</v>
      </c>
      <c r="I34" s="2"/>
      <c r="J34" s="7">
        <f t="shared" si="13"/>
        <v>2.4431275973526242E-3</v>
      </c>
      <c r="K34" s="2"/>
      <c r="L34" s="6">
        <f t="shared" si="14"/>
        <v>-126.98399999999999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285.714</v>
      </c>
      <c r="U34" s="2"/>
      <c r="V34" s="7">
        <f t="shared" si="17"/>
        <v>5.2577012255713811E-3</v>
      </c>
      <c r="W34" s="2"/>
      <c r="X34" s="6">
        <f t="shared" si="18"/>
        <v>-285.714</v>
      </c>
      <c r="Y34" s="2"/>
      <c r="Z34" s="7">
        <f t="shared" si="19"/>
        <v>-1</v>
      </c>
    </row>
    <row r="35" spans="1:26" s="24" customFormat="1" hidden="1" outlineLevel="2" x14ac:dyDescent="0.3">
      <c r="A35" s="27"/>
      <c r="B35" s="11" t="str">
        <f>CONCATENATE("          ", "6113", " - ", "GROUP INSURANCE")</f>
        <v xml:space="preserve">          6113 - GROUP INSURANCE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3">
      <c r="A36" s="27"/>
      <c r="B36" s="11" t="str">
        <f>CONCATENATE("          ", "6114", " - ", "STATE UNEMPLOYMENT INSURANCE")</f>
        <v xml:space="preserve">          6114 - STATE UNEMPLOYMENT INSURANCE</v>
      </c>
      <c r="C36" s="11"/>
      <c r="D36" s="6"/>
      <c r="E36" s="2"/>
      <c r="F36" s="7">
        <f t="shared" si="12"/>
        <v>0</v>
      </c>
      <c r="G36" s="2"/>
      <c r="H36" s="6">
        <v>17.094000000000001</v>
      </c>
      <c r="I36" s="2"/>
      <c r="J36" s="7">
        <f t="shared" si="13"/>
        <v>3.2888256118208405E-4</v>
      </c>
      <c r="K36" s="2"/>
      <c r="L36" s="6">
        <f t="shared" si="14"/>
        <v>-17.094000000000001</v>
      </c>
      <c r="M36" s="2"/>
      <c r="N36" s="7">
        <f t="shared" si="15"/>
        <v>-1</v>
      </c>
      <c r="O36" s="11"/>
      <c r="P36" s="6"/>
      <c r="Q36" s="2"/>
      <c r="R36" s="7">
        <f t="shared" si="16"/>
        <v>0</v>
      </c>
      <c r="S36" s="2"/>
      <c r="T36" s="6">
        <v>38.461500000000001</v>
      </c>
      <c r="U36" s="2"/>
      <c r="V36" s="7">
        <f t="shared" si="17"/>
        <v>7.0776747267307059E-4</v>
      </c>
      <c r="W36" s="2"/>
      <c r="X36" s="6">
        <f t="shared" si="18"/>
        <v>-38.461500000000001</v>
      </c>
      <c r="Y36" s="2"/>
      <c r="Z36" s="7">
        <f t="shared" si="19"/>
        <v>-1</v>
      </c>
    </row>
    <row r="37" spans="1:26" s="24" customFormat="1" hidden="1" outlineLevel="2" x14ac:dyDescent="0.3">
      <c r="A37" s="27"/>
      <c r="B37" s="11" t="str">
        <f>CONCATENATE("          ", "6115", " - ", "P.E.R.S.")</f>
        <v xml:space="preserve">          6115 - P.E.R.S.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3">
      <c r="A38" s="27"/>
      <c r="B38" s="11" t="str">
        <f>CONCATENATE("          ", "6116", " - ", "EDUCATIONAL BENEFITS")</f>
        <v xml:space="preserve">          6116 - EDUCATIONAL BENEFITS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3">
      <c r="A39" s="27"/>
      <c r="B39" s="11" t="str">
        <f>CONCATENATE("          ", "6118", " - ", "VACATION")</f>
        <v xml:space="preserve">          6118 - VACATION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7"/>
      <c r="B40" s="11" t="str">
        <f>CONCATENATE("          ", "6119", " - ", "SICK LEAVE")</f>
        <v xml:space="preserve">          6119 - SICK LEAVE</v>
      </c>
      <c r="C40" s="11"/>
      <c r="D40" s="6"/>
      <c r="E40" s="2"/>
      <c r="F40" s="7">
        <f t="shared" si="12"/>
        <v>0</v>
      </c>
      <c r="G40" s="2"/>
      <c r="H40" s="6">
        <v>282.60000000000002</v>
      </c>
      <c r="I40" s="2"/>
      <c r="J40" s="7">
        <f t="shared" si="13"/>
        <v>5.4371248268431588E-3</v>
      </c>
      <c r="K40" s="2"/>
      <c r="L40" s="6">
        <f t="shared" si="14"/>
        <v>-282.60000000000002</v>
      </c>
      <c r="M40" s="2"/>
      <c r="N40" s="7">
        <f t="shared" si="15"/>
        <v>-1</v>
      </c>
      <c r="O40" s="11"/>
      <c r="P40" s="6"/>
      <c r="Q40" s="2"/>
      <c r="R40" s="7">
        <f t="shared" si="16"/>
        <v>0</v>
      </c>
      <c r="S40" s="2"/>
      <c r="T40" s="6">
        <v>635.85</v>
      </c>
      <c r="U40" s="2"/>
      <c r="V40" s="7">
        <f t="shared" si="17"/>
        <v>1.1700894335872805E-2</v>
      </c>
      <c r="W40" s="2"/>
      <c r="X40" s="6">
        <f t="shared" si="18"/>
        <v>-635.85</v>
      </c>
      <c r="Y40" s="2"/>
      <c r="Z40" s="7">
        <f t="shared" si="19"/>
        <v>-1</v>
      </c>
    </row>
    <row r="41" spans="1:26" s="28" customFormat="1" outlineLevel="1" collapsed="1" x14ac:dyDescent="0.3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0</v>
      </c>
      <c r="E41" s="1"/>
      <c r="F41" s="5">
        <f t="shared" ref="F41:F51" si="20">IF(D$12=0,0,D41/D$12)</f>
        <v>0</v>
      </c>
      <c r="G41" s="1"/>
      <c r="H41" s="1">
        <f>SUM(OSRRefH22_1x_0)</f>
        <v>8044</v>
      </c>
      <c r="I41" s="1"/>
      <c r="J41" s="5">
        <f t="shared" ref="J41:J51" si="21">IF(H$12=0,0,H41/H$12)</f>
        <v>0.15476373710943511</v>
      </c>
      <c r="K41" s="1"/>
      <c r="L41" s="1">
        <f t="shared" ref="L41:L51" si="22">+D41-H41</f>
        <v>-8044</v>
      </c>
      <c r="M41" s="1"/>
      <c r="N41" s="5">
        <f t="shared" ref="N41:N51" si="23">IF(H41=0,0,L41/H41)</f>
        <v>-1</v>
      </c>
      <c r="O41" s="14"/>
      <c r="P41" s="1">
        <f>SUM(OSRRefP22_1x_0)</f>
        <v>0</v>
      </c>
      <c r="Q41" s="1"/>
      <c r="R41" s="5">
        <f t="shared" ref="R41:R51" si="24">IF(P$12=0,0,P41/P$12)</f>
        <v>0</v>
      </c>
      <c r="S41" s="1"/>
      <c r="T41" s="1">
        <f>SUM(OSRRefT22_1x_0)</f>
        <v>18099</v>
      </c>
      <c r="U41" s="1"/>
      <c r="V41" s="5">
        <f t="shared" ref="V41:V51" si="25">IF(T$12=0,0,T41/T$12)</f>
        <v>0.33305730374296122</v>
      </c>
      <c r="W41" s="1"/>
      <c r="X41" s="1">
        <f t="shared" ref="X41:X51" si="26">+P41-T41</f>
        <v>-18099</v>
      </c>
      <c r="Y41" s="1"/>
      <c r="Z41" s="5">
        <f t="shared" ref="Z41:Z51" si="27">IF(T41=0,0,X41/T41)</f>
        <v>-1</v>
      </c>
    </row>
    <row r="42" spans="1:26" s="24" customFormat="1" hidden="1" outlineLevel="2" x14ac:dyDescent="0.3">
      <c r="A42" s="27"/>
      <c r="B42" s="11" t="str">
        <f>CONCATENATE("          ", "6001", " - ", "ADMINISTRATIVE SALARIES")</f>
        <v xml:space="preserve">          6001 - ADMINISTRATIVE SALARIES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"6002", " - ", "STAFF SALARIES")</f>
        <v xml:space="preserve">          6002 - STAFF SALARIES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"6003", " - ", "STAFF HOURLY-9 MONTH")</f>
        <v xml:space="preserve">          6003 - STAFF HOURLY-9 MONTH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"6004", " - ", "STAFF HOURLY")</f>
        <v xml:space="preserve">          6004 - STAFF HOURLY</v>
      </c>
      <c r="C45" s="11"/>
      <c r="D45" s="6"/>
      <c r="E45" s="2"/>
      <c r="F45" s="7">
        <f t="shared" si="20"/>
        <v>0</v>
      </c>
      <c r="G45" s="2"/>
      <c r="H45" s="6">
        <v>1824</v>
      </c>
      <c r="I45" s="2"/>
      <c r="J45" s="7">
        <f t="shared" si="21"/>
        <v>3.5093119901492997E-2</v>
      </c>
      <c r="K45" s="2"/>
      <c r="L45" s="6">
        <f t="shared" si="22"/>
        <v>-1824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4104</v>
      </c>
      <c r="U45" s="2"/>
      <c r="V45" s="7">
        <f t="shared" si="25"/>
        <v>7.5521695925803239E-2</v>
      </c>
      <c r="W45" s="2"/>
      <c r="X45" s="6">
        <f t="shared" si="26"/>
        <v>-4104</v>
      </c>
      <c r="Y45" s="2"/>
      <c r="Z45" s="7">
        <f t="shared" si="27"/>
        <v>-1</v>
      </c>
    </row>
    <row r="46" spans="1:26" s="24" customFormat="1" hidden="1" outlineLevel="2" x14ac:dyDescent="0.3">
      <c r="A46" s="27"/>
      <c r="B46" s="11" t="str">
        <f>CONCATENATE("          ", "6005", " - ", "TEMPORARY WAGES-HOURLY")</f>
        <v xml:space="preserve">          6005 - TEMPORARY WAGES-HOURLY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"6006", " - ", "TEMPORARY PART TIME")</f>
        <v xml:space="preserve">          6006 - TEMPORARY PART TIME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3">
      <c r="A48" s="27"/>
      <c r="B48" s="11" t="str">
        <f>CONCATENATE("          ", "6007", " - ", "STUDENT HOURLY")</f>
        <v xml:space="preserve">          6007 - STUDENT HOURLY</v>
      </c>
      <c r="C48" s="11"/>
      <c r="D48" s="6"/>
      <c r="E48" s="2"/>
      <c r="F48" s="7">
        <f t="shared" si="20"/>
        <v>0</v>
      </c>
      <c r="G48" s="2"/>
      <c r="H48" s="6">
        <v>6220</v>
      </c>
      <c r="I48" s="2"/>
      <c r="J48" s="7">
        <f t="shared" si="21"/>
        <v>0.11967061720794213</v>
      </c>
      <c r="K48" s="2"/>
      <c r="L48" s="6">
        <f t="shared" si="22"/>
        <v>-6220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13995</v>
      </c>
      <c r="U48" s="2"/>
      <c r="V48" s="7">
        <f t="shared" si="25"/>
        <v>0.25753560781715801</v>
      </c>
      <c r="W48" s="2"/>
      <c r="X48" s="6">
        <f t="shared" si="26"/>
        <v>-13995</v>
      </c>
      <c r="Y48" s="2"/>
      <c r="Z48" s="7">
        <f t="shared" si="27"/>
        <v>-1</v>
      </c>
    </row>
    <row r="49" spans="1:26" s="24" customFormat="1" hidden="1" outlineLevel="2" x14ac:dyDescent="0.3">
      <c r="A49" s="27"/>
      <c r="B49" s="11" t="str">
        <f>CONCATENATE("          ", "6008", " - ", "STUDENT HOURLY-FICA EXEMPT")</f>
        <v xml:space="preserve">          6008 - STUDENT HOURLY-FICA EXEMPT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4" customFormat="1" hidden="1" outlineLevel="2" x14ac:dyDescent="0.3">
      <c r="A50" s="27"/>
      <c r="B50" s="11" t="str">
        <f>CONCATENATE("          ", "6009", " - ", "TEMPORARY-SEASONAL")</f>
        <v xml:space="preserve">          6009 - TEMPORARY-SEASONAL</v>
      </c>
      <c r="C50" s="11"/>
      <c r="D50" s="6"/>
      <c r="E50" s="2"/>
      <c r="F50" s="7">
        <f t="shared" si="20"/>
        <v>0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0</v>
      </c>
      <c r="M50" s="2"/>
      <c r="N50" s="7">
        <f t="shared" si="23"/>
        <v>0</v>
      </c>
      <c r="O50" s="11"/>
      <c r="P50" s="6"/>
      <c r="Q50" s="2"/>
      <c r="R50" s="7">
        <f t="shared" si="24"/>
        <v>0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0</v>
      </c>
      <c r="Y50" s="2"/>
      <c r="Z50" s="7">
        <f t="shared" si="27"/>
        <v>0</v>
      </c>
    </row>
    <row r="51" spans="1:26" s="24" customFormat="1" hidden="1" outlineLevel="2" x14ac:dyDescent="0.3">
      <c r="A51" s="27"/>
      <c r="B51" s="11" t="str">
        <f>CONCATENATE("          ", "6010", " - ", "GRATUITY")</f>
        <v xml:space="preserve">          6010 - GRATUITY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8" customFormat="1" outlineLevel="1" collapsed="1" x14ac:dyDescent="0.3">
      <c r="A52" s="29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35.28</v>
      </c>
      <c r="E52" s="1"/>
      <c r="F52" s="5">
        <f t="shared" ref="F52:F60" si="28">IF(D$12=0,0,D52/D$12)</f>
        <v>2.1362992853570248E-3</v>
      </c>
      <c r="G52" s="1"/>
      <c r="H52" s="1">
        <f>SUM(OSRRefH22_2x_0)</f>
        <v>50</v>
      </c>
      <c r="I52" s="1"/>
      <c r="J52" s="5">
        <f t="shared" ref="J52:J60" si="29">IF(H$12=0,0,H52/H$12)</f>
        <v>9.619824534400493E-4</v>
      </c>
      <c r="K52" s="1"/>
      <c r="L52" s="1">
        <f t="shared" ref="L52:L60" si="30">+D52-H52</f>
        <v>-14.719999999999999</v>
      </c>
      <c r="M52" s="1"/>
      <c r="N52" s="5">
        <f t="shared" ref="N52:N60" si="31">IF(H52=0,0,L52/H52)</f>
        <v>-0.2944</v>
      </c>
      <c r="O52" s="14"/>
      <c r="P52" s="1">
        <f>SUM(OSRRefP22_2x_0)</f>
        <v>135.28</v>
      </c>
      <c r="Q52" s="1"/>
      <c r="R52" s="5">
        <f t="shared" ref="R52:R60" si="32">IF(P$12=0,0,P52/P$12)</f>
        <v>8.1915693685685464E-3</v>
      </c>
      <c r="S52" s="1"/>
      <c r="T52" s="1">
        <f>SUM(OSRRefT22_2x_0)</f>
        <v>100</v>
      </c>
      <c r="U52" s="1"/>
      <c r="V52" s="5">
        <f t="shared" ref="V52:V60" si="33">IF(T$12=0,0,T52/T$12)</f>
        <v>1.8401972691472527E-3</v>
      </c>
      <c r="W52" s="1"/>
      <c r="X52" s="1">
        <f t="shared" ref="X52:X60" si="34">+P52-T52</f>
        <v>35.28</v>
      </c>
      <c r="Y52" s="1"/>
      <c r="Z52" s="5">
        <f t="shared" ref="Z52:Z60" si="35">IF(T52=0,0,X52/T52)</f>
        <v>0.3528</v>
      </c>
    </row>
    <row r="53" spans="1:26" s="24" customFormat="1" hidden="1" outlineLevel="2" x14ac:dyDescent="0.3">
      <c r="A53" s="27"/>
      <c r="B53" s="11" t="str">
        <f>CONCATENATE("          ", "6362", " - ", "ADVERTISING EXPENSE")</f>
        <v xml:space="preserve">          6362 - ADVERTISING EXPENSE</v>
      </c>
      <c r="C53" s="11"/>
      <c r="D53" s="6">
        <v>35.28</v>
      </c>
      <c r="E53" s="2"/>
      <c r="F53" s="7">
        <f t="shared" si="28"/>
        <v>2.1362992853570248E-3</v>
      </c>
      <c r="G53" s="2"/>
      <c r="H53" s="6">
        <v>50</v>
      </c>
      <c r="I53" s="2"/>
      <c r="J53" s="7">
        <f t="shared" si="29"/>
        <v>9.619824534400493E-4</v>
      </c>
      <c r="K53" s="2"/>
      <c r="L53" s="6">
        <f t="shared" si="30"/>
        <v>-14.719999999999999</v>
      </c>
      <c r="M53" s="2"/>
      <c r="N53" s="7">
        <f t="shared" si="31"/>
        <v>-0.2944</v>
      </c>
      <c r="O53" s="11"/>
      <c r="P53" s="6">
        <v>135.28</v>
      </c>
      <c r="Q53" s="2"/>
      <c r="R53" s="7">
        <f t="shared" si="32"/>
        <v>8.1915693685685464E-3</v>
      </c>
      <c r="S53" s="2"/>
      <c r="T53" s="6">
        <v>100</v>
      </c>
      <c r="U53" s="2"/>
      <c r="V53" s="7">
        <f t="shared" si="33"/>
        <v>1.8401972691472527E-3</v>
      </c>
      <c r="W53" s="2"/>
      <c r="X53" s="6">
        <f t="shared" si="34"/>
        <v>35.28</v>
      </c>
      <c r="Y53" s="2"/>
      <c r="Z53" s="7">
        <f t="shared" si="35"/>
        <v>0.3528</v>
      </c>
    </row>
    <row r="54" spans="1:26" s="28" customFormat="1" outlineLevel="1" collapsed="1" x14ac:dyDescent="0.3">
      <c r="A54" s="29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-1.66</v>
      </c>
      <c r="E54" s="1"/>
      <c r="F54" s="5">
        <f t="shared" si="28"/>
        <v>-1.0051748338131124E-4</v>
      </c>
      <c r="G54" s="1"/>
      <c r="H54" s="1">
        <f>SUM(OSRRefH22_3x_0)</f>
        <v>25</v>
      </c>
      <c r="I54" s="1"/>
      <c r="J54" s="5">
        <f t="shared" si="29"/>
        <v>4.8099122672002465E-4</v>
      </c>
      <c r="K54" s="1"/>
      <c r="L54" s="1">
        <f t="shared" si="30"/>
        <v>-26.66</v>
      </c>
      <c r="M54" s="1"/>
      <c r="N54" s="5">
        <f t="shared" si="31"/>
        <v>-1.0664</v>
      </c>
      <c r="O54" s="14"/>
      <c r="P54" s="1">
        <f>SUM(OSRRefP22_3x_0)</f>
        <v>-1.66</v>
      </c>
      <c r="Q54" s="1"/>
      <c r="R54" s="5">
        <f t="shared" si="32"/>
        <v>-1.0051748338131124E-4</v>
      </c>
      <c r="S54" s="1"/>
      <c r="T54" s="1">
        <f>SUM(OSRRefT22_3x_0)</f>
        <v>50</v>
      </c>
      <c r="U54" s="1"/>
      <c r="V54" s="5">
        <f t="shared" si="33"/>
        <v>9.2009863457362634E-4</v>
      </c>
      <c r="W54" s="1"/>
      <c r="X54" s="1">
        <f t="shared" si="34"/>
        <v>-51.66</v>
      </c>
      <c r="Y54" s="1"/>
      <c r="Z54" s="5">
        <f t="shared" si="35"/>
        <v>-1.0331999999999999</v>
      </c>
    </row>
    <row r="55" spans="1:26" s="24" customFormat="1" hidden="1" outlineLevel="2" x14ac:dyDescent="0.3">
      <c r="A55" s="27"/>
      <c r="B55" s="11" t="str">
        <f>CONCATENATE("          ", "6272", " - ", "CASH (OVER/SHORT)")</f>
        <v xml:space="preserve">          6272 - CASH (OVER/SHORT)</v>
      </c>
      <c r="C55" s="11"/>
      <c r="D55" s="6">
        <v>-1.66</v>
      </c>
      <c r="E55" s="2"/>
      <c r="F55" s="7">
        <f t="shared" si="28"/>
        <v>-1.0051748338131124E-4</v>
      </c>
      <c r="G55" s="2"/>
      <c r="H55" s="6">
        <v>25</v>
      </c>
      <c r="I55" s="2"/>
      <c r="J55" s="7">
        <f t="shared" si="29"/>
        <v>4.8099122672002465E-4</v>
      </c>
      <c r="K55" s="2"/>
      <c r="L55" s="6">
        <f t="shared" si="30"/>
        <v>-26.66</v>
      </c>
      <c r="M55" s="2"/>
      <c r="N55" s="7">
        <f t="shared" si="31"/>
        <v>-1.0664</v>
      </c>
      <c r="O55" s="11"/>
      <c r="P55" s="6">
        <v>-1.66</v>
      </c>
      <c r="Q55" s="2"/>
      <c r="R55" s="7">
        <f t="shared" si="32"/>
        <v>-1.0051748338131124E-4</v>
      </c>
      <c r="S55" s="2"/>
      <c r="T55" s="6">
        <v>50</v>
      </c>
      <c r="U55" s="2"/>
      <c r="V55" s="7">
        <f t="shared" si="33"/>
        <v>9.2009863457362634E-4</v>
      </c>
      <c r="W55" s="2"/>
      <c r="X55" s="6">
        <f t="shared" si="34"/>
        <v>-51.66</v>
      </c>
      <c r="Y55" s="2"/>
      <c r="Z55" s="7">
        <f t="shared" si="35"/>
        <v>-1.0331999999999999</v>
      </c>
    </row>
    <row r="56" spans="1:26" s="28" customFormat="1" outlineLevel="1" collapsed="1" x14ac:dyDescent="0.3">
      <c r="A56" s="29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0</v>
      </c>
      <c r="E56" s="1"/>
      <c r="F56" s="5">
        <f t="shared" si="28"/>
        <v>0</v>
      </c>
      <c r="G56" s="1"/>
      <c r="H56" s="1">
        <f>SUM(OSRRefH22_4x_0)</f>
        <v>1007</v>
      </c>
      <c r="I56" s="1"/>
      <c r="J56" s="5">
        <f t="shared" si="29"/>
        <v>1.9374326612282593E-2</v>
      </c>
      <c r="K56" s="1"/>
      <c r="L56" s="1">
        <f t="shared" si="30"/>
        <v>-1007</v>
      </c>
      <c r="M56" s="1"/>
      <c r="N56" s="5">
        <f t="shared" si="31"/>
        <v>-1</v>
      </c>
      <c r="O56" s="14"/>
      <c r="P56" s="1">
        <f>SUM(OSRRefP22_4x_0)</f>
        <v>0</v>
      </c>
      <c r="Q56" s="1"/>
      <c r="R56" s="5">
        <f t="shared" si="32"/>
        <v>0</v>
      </c>
      <c r="S56" s="1"/>
      <c r="T56" s="1">
        <f>SUM(OSRRefT22_4x_0)</f>
        <v>1052</v>
      </c>
      <c r="U56" s="1"/>
      <c r="V56" s="5">
        <f t="shared" si="33"/>
        <v>1.9358875271429096E-2</v>
      </c>
      <c r="W56" s="1"/>
      <c r="X56" s="1">
        <f t="shared" si="34"/>
        <v>-1052</v>
      </c>
      <c r="Y56" s="1"/>
      <c r="Z56" s="5">
        <f t="shared" si="35"/>
        <v>-1</v>
      </c>
    </row>
    <row r="57" spans="1:26" s="24" customFormat="1" hidden="1" outlineLevel="2" x14ac:dyDescent="0.3">
      <c r="A57" s="27"/>
      <c r="B57" s="11" t="str">
        <f>CONCATENATE("          ", "6381", " - ", "BANK/CREDIT CARD FEES")</f>
        <v xml:space="preserve">          6381 - BANK/CREDIT CARD FEES</v>
      </c>
      <c r="C57" s="11"/>
      <c r="D57" s="6"/>
      <c r="E57" s="2"/>
      <c r="F57" s="7">
        <f t="shared" si="28"/>
        <v>0</v>
      </c>
      <c r="G57" s="2"/>
      <c r="H57" s="6">
        <v>1007</v>
      </c>
      <c r="I57" s="2"/>
      <c r="J57" s="7">
        <f t="shared" si="29"/>
        <v>1.9374326612282593E-2</v>
      </c>
      <c r="K57" s="2"/>
      <c r="L57" s="6">
        <f t="shared" si="30"/>
        <v>-1007</v>
      </c>
      <c r="M57" s="2"/>
      <c r="N57" s="7">
        <f t="shared" si="31"/>
        <v>-1</v>
      </c>
      <c r="O57" s="11"/>
      <c r="P57" s="6"/>
      <c r="Q57" s="2"/>
      <c r="R57" s="7">
        <f t="shared" si="32"/>
        <v>0</v>
      </c>
      <c r="S57" s="2"/>
      <c r="T57" s="6">
        <v>1052</v>
      </c>
      <c r="U57" s="2"/>
      <c r="V57" s="7">
        <f t="shared" si="33"/>
        <v>1.9358875271429096E-2</v>
      </c>
      <c r="W57" s="2"/>
      <c r="X57" s="6">
        <f t="shared" si="34"/>
        <v>-1052</v>
      </c>
      <c r="Y57" s="2"/>
      <c r="Z57" s="7">
        <f t="shared" si="35"/>
        <v>-1</v>
      </c>
    </row>
    <row r="58" spans="1:26" s="28" customFormat="1" outlineLevel="1" collapsed="1" x14ac:dyDescent="0.3">
      <c r="A58" s="29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SUM(OSRRefD22_5x_0)</f>
        <v>-69.38</v>
      </c>
      <c r="E58" s="1"/>
      <c r="F58" s="5">
        <f t="shared" si="28"/>
        <v>-4.201146383732153E-3</v>
      </c>
      <c r="G58" s="1"/>
      <c r="H58" s="1">
        <f>SUM(OSRRefH22_5x_0)</f>
        <v>0</v>
      </c>
      <c r="I58" s="1"/>
      <c r="J58" s="5">
        <f t="shared" si="29"/>
        <v>0</v>
      </c>
      <c r="K58" s="1"/>
      <c r="L58" s="1">
        <f t="shared" si="30"/>
        <v>-69.38</v>
      </c>
      <c r="M58" s="1"/>
      <c r="N58" s="5">
        <f t="shared" si="31"/>
        <v>0</v>
      </c>
      <c r="O58" s="14"/>
      <c r="P58" s="1">
        <f>SUM(OSRRefP22_5x_0)</f>
        <v>-69.38</v>
      </c>
      <c r="Q58" s="1"/>
      <c r="R58" s="5">
        <f t="shared" si="32"/>
        <v>-4.201146383732153E-3</v>
      </c>
      <c r="S58" s="1"/>
      <c r="T58" s="1">
        <f>SUM(OSRRefT22_5x_0)</f>
        <v>0</v>
      </c>
      <c r="U58" s="1"/>
      <c r="V58" s="5">
        <f t="shared" si="33"/>
        <v>0</v>
      </c>
      <c r="W58" s="1"/>
      <c r="X58" s="1">
        <f t="shared" si="34"/>
        <v>-69.38</v>
      </c>
      <c r="Y58" s="1"/>
      <c r="Z58" s="5">
        <f t="shared" si="35"/>
        <v>0</v>
      </c>
    </row>
    <row r="59" spans="1:26" s="24" customFormat="1" hidden="1" outlineLevel="2" x14ac:dyDescent="0.3">
      <c r="A59" s="27"/>
      <c r="B59" s="11" t="str">
        <f>CONCATENATE("          ", "6382", " - ", "DISCOUNTS/MARK DOWNS")</f>
        <v xml:space="preserve">          6382 - DISCOUNTS/MARK DOWNS</v>
      </c>
      <c r="C59" s="11"/>
      <c r="D59" s="6"/>
      <c r="E59" s="2"/>
      <c r="F59" s="7">
        <f t="shared" si="28"/>
        <v>0</v>
      </c>
      <c r="G59" s="2"/>
      <c r="H59" s="6">
        <v>0</v>
      </c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/>
      <c r="Q59" s="2"/>
      <c r="R59" s="7">
        <f t="shared" si="32"/>
        <v>0</v>
      </c>
      <c r="S59" s="2"/>
      <c r="T59" s="6">
        <v>0</v>
      </c>
      <c r="U59" s="2"/>
      <c r="V59" s="7">
        <f t="shared" si="33"/>
        <v>0</v>
      </c>
      <c r="W59" s="2"/>
      <c r="X59" s="6">
        <f t="shared" si="34"/>
        <v>0</v>
      </c>
      <c r="Y59" s="2"/>
      <c r="Z59" s="7">
        <f t="shared" si="35"/>
        <v>0</v>
      </c>
    </row>
    <row r="60" spans="1:26" s="24" customFormat="1" hidden="1" outlineLevel="2" x14ac:dyDescent="0.3">
      <c r="A60" s="27"/>
      <c r="B60" s="11" t="str">
        <f>CONCATENATE("          ", "9175", " - ", "EARNED DISCOUNTS")</f>
        <v xml:space="preserve">          9175 - EARNED DISCOUNTS</v>
      </c>
      <c r="C60" s="11"/>
      <c r="D60" s="6">
        <v>-69.38</v>
      </c>
      <c r="E60" s="2"/>
      <c r="F60" s="7">
        <f t="shared" si="28"/>
        <v>-4.201146383732153E-3</v>
      </c>
      <c r="G60" s="2"/>
      <c r="H60" s="6"/>
      <c r="I60" s="2"/>
      <c r="J60" s="7">
        <f t="shared" si="29"/>
        <v>0</v>
      </c>
      <c r="K60" s="2"/>
      <c r="L60" s="6">
        <f t="shared" si="30"/>
        <v>-69.38</v>
      </c>
      <c r="M60" s="2"/>
      <c r="N60" s="7">
        <f t="shared" si="31"/>
        <v>0</v>
      </c>
      <c r="O60" s="11"/>
      <c r="P60" s="6">
        <v>-69.38</v>
      </c>
      <c r="Q60" s="2"/>
      <c r="R60" s="7">
        <f t="shared" si="32"/>
        <v>-4.201146383732153E-3</v>
      </c>
      <c r="S60" s="2"/>
      <c r="T60" s="6"/>
      <c r="U60" s="2"/>
      <c r="V60" s="7">
        <f t="shared" si="33"/>
        <v>0</v>
      </c>
      <c r="W60" s="2"/>
      <c r="X60" s="6">
        <f t="shared" si="34"/>
        <v>-69.38</v>
      </c>
      <c r="Y60" s="2"/>
      <c r="Z60" s="7">
        <f t="shared" si="35"/>
        <v>0</v>
      </c>
    </row>
    <row r="61" spans="1:26" s="28" customFormat="1" outlineLevel="1" collapsed="1" x14ac:dyDescent="0.3">
      <c r="A61" s="29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SUM(OSRRefD22_6x_0)</f>
        <v>20</v>
      </c>
      <c r="E61" s="1"/>
      <c r="F61" s="5">
        <f t="shared" ref="F61:F74" si="36">IF(D$12=0,0,D61/D$12)</f>
        <v>1.2110540166423043E-3</v>
      </c>
      <c r="G61" s="1"/>
      <c r="H61" s="1">
        <f>SUM(OSRRefH22_6x_0)</f>
        <v>0</v>
      </c>
      <c r="I61" s="1"/>
      <c r="J61" s="5">
        <f t="shared" ref="J61:J74" si="37">IF(H$12=0,0,H61/H$12)</f>
        <v>0</v>
      </c>
      <c r="K61" s="1"/>
      <c r="L61" s="1">
        <f t="shared" ref="L61:L74" si="38">+D61-H61</f>
        <v>20</v>
      </c>
      <c r="M61" s="1"/>
      <c r="N61" s="5">
        <f t="shared" ref="N61:N74" si="39">IF(H61=0,0,L61/H61)</f>
        <v>0</v>
      </c>
      <c r="O61" s="14"/>
      <c r="P61" s="1">
        <f>SUM(OSRRefP22_6x_0)</f>
        <v>20</v>
      </c>
      <c r="Q61" s="1"/>
      <c r="R61" s="5">
        <f t="shared" ref="R61:R74" si="40">IF(P$12=0,0,P61/P$12)</f>
        <v>1.2110540166423043E-3</v>
      </c>
      <c r="S61" s="1"/>
      <c r="T61" s="1">
        <f>SUM(OSRRefT22_6x_0)</f>
        <v>0</v>
      </c>
      <c r="U61" s="1"/>
      <c r="V61" s="5">
        <f t="shared" ref="V61:V74" si="41">IF(T$12=0,0,T61/T$12)</f>
        <v>0</v>
      </c>
      <c r="W61" s="1"/>
      <c r="X61" s="1">
        <f t="shared" ref="X61:X74" si="42">+P61-T61</f>
        <v>20</v>
      </c>
      <c r="Y61" s="1"/>
      <c r="Z61" s="5">
        <f t="shared" ref="Z61:Z74" si="43">IF(T61=0,0,X61/T61)</f>
        <v>0</v>
      </c>
    </row>
    <row r="62" spans="1:26" s="24" customFormat="1" hidden="1" outlineLevel="2" x14ac:dyDescent="0.3">
      <c r="A62" s="27"/>
      <c r="B62" s="11" t="str">
        <f>CONCATENATE("          ", "6307", " - ", "POSTAGE")</f>
        <v xml:space="preserve">          6307 - POSTAGE</v>
      </c>
      <c r="C62" s="11"/>
      <c r="D62" s="6">
        <v>20</v>
      </c>
      <c r="E62" s="2"/>
      <c r="F62" s="7">
        <f t="shared" si="36"/>
        <v>1.2110540166423043E-3</v>
      </c>
      <c r="G62" s="2"/>
      <c r="H62" s="6"/>
      <c r="I62" s="2"/>
      <c r="J62" s="7">
        <f t="shared" si="37"/>
        <v>0</v>
      </c>
      <c r="K62" s="2"/>
      <c r="L62" s="6">
        <f t="shared" si="38"/>
        <v>20</v>
      </c>
      <c r="M62" s="2"/>
      <c r="N62" s="7">
        <f t="shared" si="39"/>
        <v>0</v>
      </c>
      <c r="O62" s="11"/>
      <c r="P62" s="6">
        <v>20</v>
      </c>
      <c r="Q62" s="2"/>
      <c r="R62" s="7">
        <f t="shared" si="40"/>
        <v>1.2110540166423043E-3</v>
      </c>
      <c r="S62" s="2"/>
      <c r="T62" s="6"/>
      <c r="U62" s="2"/>
      <c r="V62" s="7">
        <f t="shared" si="41"/>
        <v>0</v>
      </c>
      <c r="W62" s="2"/>
      <c r="X62" s="6">
        <f t="shared" si="42"/>
        <v>20</v>
      </c>
      <c r="Y62" s="2"/>
      <c r="Z62" s="7">
        <f t="shared" si="43"/>
        <v>0</v>
      </c>
    </row>
    <row r="63" spans="1:26" s="28" customFormat="1" outlineLevel="1" collapsed="1" x14ac:dyDescent="0.3">
      <c r="A63" s="29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SUM(OSRRefD22_7x_0)</f>
        <v>228.04</v>
      </c>
      <c r="E63" s="1"/>
      <c r="F63" s="5">
        <f t="shared" si="36"/>
        <v>1.3808437897755552E-2</v>
      </c>
      <c r="G63" s="1"/>
      <c r="H63" s="1">
        <f>SUM(OSRRefH22_7x_0)</f>
        <v>0</v>
      </c>
      <c r="I63" s="1"/>
      <c r="J63" s="5">
        <f t="shared" si="37"/>
        <v>0</v>
      </c>
      <c r="K63" s="1"/>
      <c r="L63" s="1">
        <f t="shared" si="38"/>
        <v>228.04</v>
      </c>
      <c r="M63" s="1"/>
      <c r="N63" s="5">
        <f t="shared" si="39"/>
        <v>0</v>
      </c>
      <c r="O63" s="14"/>
      <c r="P63" s="1">
        <f>SUM(OSRRefP22_7x_0)</f>
        <v>228.04</v>
      </c>
      <c r="Q63" s="1"/>
      <c r="R63" s="5">
        <f t="shared" si="40"/>
        <v>1.3808437897755552E-2</v>
      </c>
      <c r="S63" s="1"/>
      <c r="T63" s="1">
        <f>SUM(OSRRefT22_7x_0)</f>
        <v>0</v>
      </c>
      <c r="U63" s="1"/>
      <c r="V63" s="5">
        <f t="shared" si="41"/>
        <v>0</v>
      </c>
      <c r="W63" s="1"/>
      <c r="X63" s="1">
        <f t="shared" si="42"/>
        <v>228.04</v>
      </c>
      <c r="Y63" s="1"/>
      <c r="Z63" s="5">
        <f t="shared" si="43"/>
        <v>0</v>
      </c>
    </row>
    <row r="64" spans="1:26" s="24" customFormat="1" hidden="1" outlineLevel="2" x14ac:dyDescent="0.3">
      <c r="A64" s="27"/>
      <c r="B64" s="11" t="str">
        <f>CONCATENATE("          ", "6279", " - ", "GENERAL EXPENSE")</f>
        <v xml:space="preserve">          6279 - GENERAL EXPENSE</v>
      </c>
      <c r="C64" s="11"/>
      <c r="D64" s="6">
        <v>228.04</v>
      </c>
      <c r="E64" s="2"/>
      <c r="F64" s="7">
        <f t="shared" si="36"/>
        <v>1.3808437897755552E-2</v>
      </c>
      <c r="G64" s="2"/>
      <c r="H64" s="6">
        <v>0</v>
      </c>
      <c r="I64" s="2"/>
      <c r="J64" s="7">
        <f t="shared" si="37"/>
        <v>0</v>
      </c>
      <c r="K64" s="2"/>
      <c r="L64" s="6">
        <f t="shared" si="38"/>
        <v>228.04</v>
      </c>
      <c r="M64" s="2"/>
      <c r="N64" s="7">
        <f t="shared" si="39"/>
        <v>0</v>
      </c>
      <c r="O64" s="11"/>
      <c r="P64" s="6">
        <v>228.04</v>
      </c>
      <c r="Q64" s="2"/>
      <c r="R64" s="7">
        <f t="shared" si="40"/>
        <v>1.3808437897755552E-2</v>
      </c>
      <c r="S64" s="2"/>
      <c r="T64" s="6">
        <v>0</v>
      </c>
      <c r="U64" s="2"/>
      <c r="V64" s="7">
        <f t="shared" si="41"/>
        <v>0</v>
      </c>
      <c r="W64" s="2"/>
      <c r="X64" s="6">
        <f t="shared" si="42"/>
        <v>228.04</v>
      </c>
      <c r="Y64" s="2"/>
      <c r="Z64" s="7">
        <f t="shared" si="43"/>
        <v>0</v>
      </c>
    </row>
    <row r="65" spans="1:26" s="28" customFormat="1" outlineLevel="1" collapsed="1" x14ac:dyDescent="0.3">
      <c r="A65" s="29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SUM(OSRRefD22_8x_0)</f>
        <v>650</v>
      </c>
      <c r="E65" s="1"/>
      <c r="F65" s="5">
        <f t="shared" si="36"/>
        <v>3.9359255540874889E-2</v>
      </c>
      <c r="G65" s="1"/>
      <c r="H65" s="1">
        <f>SUM(OSRRefH22_8x_0)</f>
        <v>650</v>
      </c>
      <c r="I65" s="1"/>
      <c r="J65" s="5">
        <f t="shared" si="37"/>
        <v>1.250577189472064E-2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SUM(OSRRefP22_8x_0)</f>
        <v>1300</v>
      </c>
      <c r="Q65" s="1"/>
      <c r="R65" s="5">
        <f t="shared" si="40"/>
        <v>7.8718511081749779E-2</v>
      </c>
      <c r="S65" s="1"/>
      <c r="T65" s="1">
        <f>SUM(OSRRefT22_8x_0)</f>
        <v>1300</v>
      </c>
      <c r="U65" s="1"/>
      <c r="V65" s="5">
        <f t="shared" si="41"/>
        <v>2.3922564498914285E-2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3">
      <c r="A66" s="27"/>
      <c r="B66" s="11" t="str">
        <f>CONCATENATE("          ", "6408", " - ", "INVENTORY ADJUSTMENT")</f>
        <v xml:space="preserve">          6408 - INVENTORY ADJUSTMENT</v>
      </c>
      <c r="C66" s="11"/>
      <c r="D66" s="6">
        <v>650</v>
      </c>
      <c r="E66" s="2"/>
      <c r="F66" s="7">
        <f t="shared" si="36"/>
        <v>3.9359255540874889E-2</v>
      </c>
      <c r="G66" s="2"/>
      <c r="H66" s="6">
        <v>650</v>
      </c>
      <c r="I66" s="2"/>
      <c r="J66" s="7">
        <f t="shared" si="37"/>
        <v>1.250577189472064E-2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1300</v>
      </c>
      <c r="Q66" s="2"/>
      <c r="R66" s="7">
        <f t="shared" si="40"/>
        <v>7.8718511081749779E-2</v>
      </c>
      <c r="S66" s="2"/>
      <c r="T66" s="6">
        <v>1300</v>
      </c>
      <c r="U66" s="2"/>
      <c r="V66" s="7">
        <f t="shared" si="41"/>
        <v>2.3922564498914285E-2</v>
      </c>
      <c r="W66" s="2"/>
      <c r="X66" s="6">
        <f t="shared" si="42"/>
        <v>0</v>
      </c>
      <c r="Y66" s="2"/>
      <c r="Z66" s="7">
        <f t="shared" si="43"/>
        <v>0</v>
      </c>
    </row>
    <row r="67" spans="1:26" s="28" customFormat="1" outlineLevel="1" collapsed="1" x14ac:dyDescent="0.3">
      <c r="A67" s="29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SUM(OSRRefD22_9x_0)</f>
        <v>173.68</v>
      </c>
      <c r="E67" s="1"/>
      <c r="F67" s="5">
        <f t="shared" si="36"/>
        <v>1.051679308052177E-2</v>
      </c>
      <c r="G67" s="1"/>
      <c r="H67" s="1">
        <f>SUM(OSRRefH22_9x_0)</f>
        <v>0</v>
      </c>
      <c r="I67" s="1"/>
      <c r="J67" s="5">
        <f t="shared" si="37"/>
        <v>0</v>
      </c>
      <c r="K67" s="1"/>
      <c r="L67" s="1">
        <f t="shared" si="38"/>
        <v>173.68</v>
      </c>
      <c r="M67" s="1"/>
      <c r="N67" s="5">
        <f t="shared" si="39"/>
        <v>0</v>
      </c>
      <c r="O67" s="14"/>
      <c r="P67" s="1">
        <f>SUM(OSRRefP22_9x_0)</f>
        <v>173.68</v>
      </c>
      <c r="Q67" s="1"/>
      <c r="R67" s="5">
        <f t="shared" si="40"/>
        <v>1.051679308052177E-2</v>
      </c>
      <c r="S67" s="1"/>
      <c r="T67" s="1">
        <f>SUM(OSRRefT22_9x_0)</f>
        <v>0</v>
      </c>
      <c r="U67" s="1"/>
      <c r="V67" s="5">
        <f t="shared" si="41"/>
        <v>0</v>
      </c>
      <c r="W67" s="1"/>
      <c r="X67" s="1">
        <f t="shared" si="42"/>
        <v>173.68</v>
      </c>
      <c r="Y67" s="1"/>
      <c r="Z67" s="5">
        <f t="shared" si="43"/>
        <v>0</v>
      </c>
    </row>
    <row r="68" spans="1:26" s="24" customFormat="1" hidden="1" outlineLevel="2" x14ac:dyDescent="0.3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173.68</v>
      </c>
      <c r="E68" s="2"/>
      <c r="F68" s="7">
        <f t="shared" si="36"/>
        <v>1.051679308052177E-2</v>
      </c>
      <c r="G68" s="2"/>
      <c r="H68" s="6"/>
      <c r="I68" s="2"/>
      <c r="J68" s="7">
        <f t="shared" si="37"/>
        <v>0</v>
      </c>
      <c r="K68" s="2"/>
      <c r="L68" s="6">
        <f t="shared" si="38"/>
        <v>173.68</v>
      </c>
      <c r="M68" s="2"/>
      <c r="N68" s="7">
        <f t="shared" si="39"/>
        <v>0</v>
      </c>
      <c r="O68" s="11"/>
      <c r="P68" s="6">
        <v>173.68</v>
      </c>
      <c r="Q68" s="2"/>
      <c r="R68" s="7">
        <f t="shared" si="40"/>
        <v>1.051679308052177E-2</v>
      </c>
      <c r="S68" s="2"/>
      <c r="T68" s="6"/>
      <c r="U68" s="2"/>
      <c r="V68" s="7">
        <f t="shared" si="41"/>
        <v>0</v>
      </c>
      <c r="W68" s="2"/>
      <c r="X68" s="6">
        <f t="shared" si="42"/>
        <v>173.68</v>
      </c>
      <c r="Y68" s="2"/>
      <c r="Z68" s="7">
        <f t="shared" si="43"/>
        <v>0</v>
      </c>
    </row>
    <row r="69" spans="1:26" s="28" customFormat="1" outlineLevel="1" collapsed="1" x14ac:dyDescent="0.3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SUM(OSRRefD22_10x_0)</f>
        <v>2301.4899999999998</v>
      </c>
      <c r="E69" s="1"/>
      <c r="F69" s="5">
        <f t="shared" si="36"/>
        <v>0.13936143543810484</v>
      </c>
      <c r="G69" s="1"/>
      <c r="H69" s="1">
        <f>SUM(OSRRefH22_10x_0)</f>
        <v>0</v>
      </c>
      <c r="I69" s="1"/>
      <c r="J69" s="5">
        <f t="shared" si="37"/>
        <v>0</v>
      </c>
      <c r="K69" s="1"/>
      <c r="L69" s="1">
        <f t="shared" si="38"/>
        <v>2301.4899999999998</v>
      </c>
      <c r="M69" s="1"/>
      <c r="N69" s="5">
        <f t="shared" si="39"/>
        <v>0</v>
      </c>
      <c r="O69" s="14"/>
      <c r="P69" s="1">
        <f>SUM(OSRRefP22_10x_0)</f>
        <v>2301.4899999999998</v>
      </c>
      <c r="Q69" s="1"/>
      <c r="R69" s="5">
        <f t="shared" si="40"/>
        <v>0.13936143543810484</v>
      </c>
      <c r="S69" s="1"/>
      <c r="T69" s="1">
        <f>SUM(OSRRefT22_10x_0)</f>
        <v>0</v>
      </c>
      <c r="U69" s="1"/>
      <c r="V69" s="5">
        <f t="shared" si="41"/>
        <v>0</v>
      </c>
      <c r="W69" s="1"/>
      <c r="X69" s="1">
        <f t="shared" si="42"/>
        <v>2301.4899999999998</v>
      </c>
      <c r="Y69" s="1"/>
      <c r="Z69" s="5">
        <f t="shared" si="43"/>
        <v>0</v>
      </c>
    </row>
    <row r="70" spans="1:26" s="24" customFormat="1" hidden="1" outlineLevel="2" x14ac:dyDescent="0.3">
      <c r="A70" s="27"/>
      <c r="B70" s="11" t="str">
        <f>CONCATENATE("          ", "6285", " - ", "JANITORIAL SERVICES")</f>
        <v xml:space="preserve">          6285 - JANITORIAL SERVICES</v>
      </c>
      <c r="C70" s="11"/>
      <c r="D70" s="6">
        <v>2301.4899999999998</v>
      </c>
      <c r="E70" s="2"/>
      <c r="F70" s="7">
        <f t="shared" si="36"/>
        <v>0.13936143543810484</v>
      </c>
      <c r="G70" s="2"/>
      <c r="H70" s="6"/>
      <c r="I70" s="2"/>
      <c r="J70" s="7">
        <f t="shared" si="37"/>
        <v>0</v>
      </c>
      <c r="K70" s="2"/>
      <c r="L70" s="6">
        <f t="shared" si="38"/>
        <v>2301.4899999999998</v>
      </c>
      <c r="M70" s="2"/>
      <c r="N70" s="7">
        <f t="shared" si="39"/>
        <v>0</v>
      </c>
      <c r="O70" s="11"/>
      <c r="P70" s="6">
        <v>2301.4899999999998</v>
      </c>
      <c r="Q70" s="2"/>
      <c r="R70" s="7">
        <f t="shared" si="40"/>
        <v>0.13936143543810484</v>
      </c>
      <c r="S70" s="2"/>
      <c r="T70" s="6"/>
      <c r="U70" s="2"/>
      <c r="V70" s="7">
        <f t="shared" si="41"/>
        <v>0</v>
      </c>
      <c r="W70" s="2"/>
      <c r="X70" s="6">
        <f t="shared" si="42"/>
        <v>2301.4899999999998</v>
      </c>
      <c r="Y70" s="2"/>
      <c r="Z70" s="7">
        <f t="shared" si="43"/>
        <v>0</v>
      </c>
    </row>
    <row r="71" spans="1:26" s="28" customFormat="1" outlineLevel="1" collapsed="1" x14ac:dyDescent="0.3">
      <c r="A71" s="29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SUM(OSRRefD22_11x_0)</f>
        <v>100.05</v>
      </c>
      <c r="E71" s="1"/>
      <c r="F71" s="5">
        <f t="shared" si="36"/>
        <v>6.0582977182531269E-3</v>
      </c>
      <c r="G71" s="1"/>
      <c r="H71" s="1">
        <f>SUM(OSRRefH22_11x_0)</f>
        <v>75</v>
      </c>
      <c r="I71" s="1"/>
      <c r="J71" s="5">
        <f t="shared" si="37"/>
        <v>1.4429736801600738E-3</v>
      </c>
      <c r="K71" s="1"/>
      <c r="L71" s="1">
        <f t="shared" si="38"/>
        <v>25.049999999999997</v>
      </c>
      <c r="M71" s="1"/>
      <c r="N71" s="5">
        <f t="shared" si="39"/>
        <v>0.33399999999999996</v>
      </c>
      <c r="O71" s="14"/>
      <c r="P71" s="1">
        <f>SUM(OSRRefP22_11x_0)</f>
        <v>100.05</v>
      </c>
      <c r="Q71" s="1"/>
      <c r="R71" s="5">
        <f t="shared" si="40"/>
        <v>6.0582977182531269E-3</v>
      </c>
      <c r="S71" s="1"/>
      <c r="T71" s="1">
        <f>SUM(OSRRefT22_11x_0)</f>
        <v>150</v>
      </c>
      <c r="U71" s="1"/>
      <c r="V71" s="5">
        <f t="shared" si="41"/>
        <v>2.7602959037208788E-3</v>
      </c>
      <c r="W71" s="1"/>
      <c r="X71" s="1">
        <f t="shared" si="42"/>
        <v>-49.95</v>
      </c>
      <c r="Y71" s="1"/>
      <c r="Z71" s="5">
        <f t="shared" si="43"/>
        <v>-0.33300000000000002</v>
      </c>
    </row>
    <row r="72" spans="1:26" s="24" customFormat="1" hidden="1" outlineLevel="2" x14ac:dyDescent="0.3">
      <c r="A72" s="27"/>
      <c r="B72" s="11" t="str">
        <f>CONCATENATE("          ", "6235", " - ", "COVID-19 EXPENSES")</f>
        <v xml:space="preserve">          6235 - COVID-19 EXPENSES</v>
      </c>
      <c r="C72" s="11"/>
      <c r="D72" s="6"/>
      <c r="E72" s="2"/>
      <c r="F72" s="7">
        <f t="shared" si="36"/>
        <v>0</v>
      </c>
      <c r="G72" s="2"/>
      <c r="H72" s="6">
        <v>25</v>
      </c>
      <c r="I72" s="2"/>
      <c r="J72" s="7">
        <f t="shared" si="37"/>
        <v>4.8099122672002465E-4</v>
      </c>
      <c r="K72" s="2"/>
      <c r="L72" s="6">
        <f t="shared" si="38"/>
        <v>-25</v>
      </c>
      <c r="M72" s="2"/>
      <c r="N72" s="7">
        <f t="shared" si="39"/>
        <v>-1</v>
      </c>
      <c r="O72" s="11"/>
      <c r="P72" s="6"/>
      <c r="Q72" s="2"/>
      <c r="R72" s="7">
        <f t="shared" si="40"/>
        <v>0</v>
      </c>
      <c r="S72" s="2"/>
      <c r="T72" s="6">
        <v>50</v>
      </c>
      <c r="U72" s="2"/>
      <c r="V72" s="7">
        <f t="shared" si="41"/>
        <v>9.2009863457362634E-4</v>
      </c>
      <c r="W72" s="2"/>
      <c r="X72" s="6">
        <f t="shared" si="42"/>
        <v>-50</v>
      </c>
      <c r="Y72" s="2"/>
      <c r="Z72" s="7">
        <f t="shared" si="43"/>
        <v>-1</v>
      </c>
    </row>
    <row r="73" spans="1:26" s="24" customFormat="1" hidden="1" outlineLevel="2" x14ac:dyDescent="0.3">
      <c r="A73" s="27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36"/>
        <v>0</v>
      </c>
      <c r="G73" s="2"/>
      <c r="H73" s="6">
        <v>25</v>
      </c>
      <c r="I73" s="2"/>
      <c r="J73" s="7">
        <f t="shared" si="37"/>
        <v>4.8099122672002465E-4</v>
      </c>
      <c r="K73" s="2"/>
      <c r="L73" s="6">
        <f t="shared" si="38"/>
        <v>-25</v>
      </c>
      <c r="M73" s="2"/>
      <c r="N73" s="7">
        <f t="shared" si="39"/>
        <v>-1</v>
      </c>
      <c r="O73" s="11"/>
      <c r="P73" s="6"/>
      <c r="Q73" s="2"/>
      <c r="R73" s="7">
        <f t="shared" si="40"/>
        <v>0</v>
      </c>
      <c r="S73" s="2"/>
      <c r="T73" s="6">
        <v>50</v>
      </c>
      <c r="U73" s="2"/>
      <c r="V73" s="7">
        <f t="shared" si="41"/>
        <v>9.2009863457362634E-4</v>
      </c>
      <c r="W73" s="2"/>
      <c r="X73" s="6">
        <f t="shared" si="42"/>
        <v>-50</v>
      </c>
      <c r="Y73" s="2"/>
      <c r="Z73" s="7">
        <f t="shared" si="43"/>
        <v>-1</v>
      </c>
    </row>
    <row r="74" spans="1:26" s="24" customFormat="1" hidden="1" outlineLevel="2" x14ac:dyDescent="0.3">
      <c r="A74" s="27"/>
      <c r="B74" s="11" t="str">
        <f>CONCATENATE("          ", "6247", " - ", "STORE SUPPLIES")</f>
        <v xml:space="preserve">          6247 - STORE SUPPLIES</v>
      </c>
      <c r="C74" s="11"/>
      <c r="D74" s="6">
        <v>100.05</v>
      </c>
      <c r="E74" s="2"/>
      <c r="F74" s="7">
        <f t="shared" si="36"/>
        <v>6.0582977182531269E-3</v>
      </c>
      <c r="G74" s="2"/>
      <c r="H74" s="6">
        <v>25</v>
      </c>
      <c r="I74" s="2"/>
      <c r="J74" s="7">
        <f t="shared" si="37"/>
        <v>4.8099122672002465E-4</v>
      </c>
      <c r="K74" s="2"/>
      <c r="L74" s="6">
        <f t="shared" si="38"/>
        <v>75.05</v>
      </c>
      <c r="M74" s="2"/>
      <c r="N74" s="7">
        <f t="shared" si="39"/>
        <v>3.0019999999999998</v>
      </c>
      <c r="O74" s="11"/>
      <c r="P74" s="6">
        <v>100.05</v>
      </c>
      <c r="Q74" s="2"/>
      <c r="R74" s="7">
        <f t="shared" si="40"/>
        <v>6.0582977182531269E-3</v>
      </c>
      <c r="S74" s="2"/>
      <c r="T74" s="6">
        <v>50</v>
      </c>
      <c r="U74" s="2"/>
      <c r="V74" s="7">
        <f t="shared" si="41"/>
        <v>9.2009863457362634E-4</v>
      </c>
      <c r="W74" s="2"/>
      <c r="X74" s="6">
        <f t="shared" si="42"/>
        <v>50.05</v>
      </c>
      <c r="Y74" s="2"/>
      <c r="Z74" s="7">
        <f t="shared" si="43"/>
        <v>1.0009999999999999</v>
      </c>
    </row>
    <row r="75" spans="1:26" s="28" customFormat="1" outlineLevel="1" collapsed="1" x14ac:dyDescent="0.3">
      <c r="A75" s="29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53</v>
      </c>
      <c r="E75" s="1"/>
      <c r="F75" s="5">
        <f t="shared" ref="F75:F76" si="44">IF(D$12=0,0,D75/D$12)</f>
        <v>3.2092931441021063E-3</v>
      </c>
      <c r="G75" s="1"/>
      <c r="H75" s="1">
        <f>SUM(OSRRefH22_12x_0)</f>
        <v>60</v>
      </c>
      <c r="I75" s="1"/>
      <c r="J75" s="5">
        <f t="shared" ref="J75:J76" si="45">IF(H$12=0,0,H75/H$12)</f>
        <v>1.1543789441280591E-3</v>
      </c>
      <c r="K75" s="1"/>
      <c r="L75" s="1">
        <f t="shared" ref="L75:L76" si="46">+D75-H75</f>
        <v>-7</v>
      </c>
      <c r="M75" s="1"/>
      <c r="N75" s="5">
        <f t="shared" ref="N75:N76" si="47">IF(H75=0,0,L75/H75)</f>
        <v>-0.11666666666666667</v>
      </c>
      <c r="O75" s="14"/>
      <c r="P75" s="1">
        <f>SUM(OSRRefP22_12x_0)</f>
        <v>66</v>
      </c>
      <c r="Q75" s="1"/>
      <c r="R75" s="5">
        <f t="shared" ref="R75:R76" si="48">IF(P$12=0,0,P75/P$12)</f>
        <v>3.996478254919604E-3</v>
      </c>
      <c r="S75" s="1"/>
      <c r="T75" s="1">
        <f>SUM(OSRRefT22_12x_0)</f>
        <v>120</v>
      </c>
      <c r="U75" s="1"/>
      <c r="V75" s="5">
        <f t="shared" ref="V75:V76" si="49">IF(T$12=0,0,T75/T$12)</f>
        <v>2.208236722976703E-3</v>
      </c>
      <c r="W75" s="1"/>
      <c r="X75" s="1">
        <f t="shared" ref="X75:X76" si="50">+P75-T75</f>
        <v>-54</v>
      </c>
      <c r="Y75" s="1"/>
      <c r="Z75" s="5">
        <f t="shared" ref="Z75:Z76" si="51">IF(T75=0,0,X75/T75)</f>
        <v>-0.45</v>
      </c>
    </row>
    <row r="76" spans="1:26" s="24" customFormat="1" hidden="1" outlineLevel="2" x14ac:dyDescent="0.3">
      <c r="A76" s="27"/>
      <c r="B76" s="11" t="str">
        <f>CONCATENATE("          ", "6309", " - ", "TELEPHONE")</f>
        <v xml:space="preserve">          6309 - TELEPHONE</v>
      </c>
      <c r="C76" s="11"/>
      <c r="D76" s="6">
        <v>53</v>
      </c>
      <c r="E76" s="2"/>
      <c r="F76" s="7">
        <f t="shared" si="44"/>
        <v>3.2092931441021063E-3</v>
      </c>
      <c r="G76" s="2"/>
      <c r="H76" s="6">
        <v>60</v>
      </c>
      <c r="I76" s="2"/>
      <c r="J76" s="7">
        <f t="shared" si="45"/>
        <v>1.1543789441280591E-3</v>
      </c>
      <c r="K76" s="2"/>
      <c r="L76" s="6">
        <f t="shared" si="46"/>
        <v>-7</v>
      </c>
      <c r="M76" s="2"/>
      <c r="N76" s="7">
        <f t="shared" si="47"/>
        <v>-0.11666666666666667</v>
      </c>
      <c r="O76" s="11"/>
      <c r="P76" s="6">
        <v>66</v>
      </c>
      <c r="Q76" s="2"/>
      <c r="R76" s="7">
        <f t="shared" si="48"/>
        <v>3.996478254919604E-3</v>
      </c>
      <c r="S76" s="2"/>
      <c r="T76" s="6">
        <v>120</v>
      </c>
      <c r="U76" s="2"/>
      <c r="V76" s="7">
        <f t="shared" si="49"/>
        <v>2.208236722976703E-3</v>
      </c>
      <c r="W76" s="2"/>
      <c r="X76" s="6">
        <f t="shared" si="50"/>
        <v>-54</v>
      </c>
      <c r="Y76" s="2"/>
      <c r="Z76" s="7">
        <f t="shared" si="51"/>
        <v>-0.45</v>
      </c>
    </row>
    <row r="77" spans="1:26" s="53" customFormat="1" x14ac:dyDescent="0.3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3">
      <c r="A78" s="10"/>
      <c r="B78" s="25" t="s">
        <v>293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3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">
      <c r="A80" s="10"/>
      <c r="B80" s="26" t="s">
        <v>277</v>
      </c>
      <c r="C80" s="26"/>
      <c r="D80" s="21">
        <f>+D29-D31+D78</f>
        <v>3338.4799999999996</v>
      </c>
      <c r="E80" s="13"/>
      <c r="F80" s="20">
        <f>IF(D$12=0,0,D80/D$12)</f>
        <v>0.20215398067399998</v>
      </c>
      <c r="G80" s="13"/>
      <c r="H80" s="21">
        <f>+H29-H31+H78</f>
        <v>9413.3678</v>
      </c>
      <c r="I80" s="13"/>
      <c r="J80" s="20">
        <f>IF(H$12=0,0,H80/H$12)</f>
        <v>0.18110989302755118</v>
      </c>
      <c r="K80" s="16"/>
      <c r="L80" s="21">
        <f>+D80-H80</f>
        <v>-6074.8878000000004</v>
      </c>
      <c r="M80" s="16"/>
      <c r="N80" s="20">
        <f>IF(H80=0,0,L80/H80)</f>
        <v>-0.64534690761790914</v>
      </c>
      <c r="O80" s="25"/>
      <c r="P80" s="21">
        <f>+P29-P31+P78</f>
        <v>2575.4799999999996</v>
      </c>
      <c r="Q80" s="13"/>
      <c r="R80" s="20">
        <f>IF(P$12=0,0,P80/P$12)</f>
        <v>0.15595226993909606</v>
      </c>
      <c r="S80" s="13"/>
      <c r="T80" s="21">
        <f>+T29-T31+T78</f>
        <v>-1874.6724499999982</v>
      </c>
      <c r="U80" s="13"/>
      <c r="V80" s="20">
        <f>IF(T$12=0,0,T80/T$12)</f>
        <v>-3.449767123035586E-2</v>
      </c>
      <c r="W80" s="16"/>
      <c r="X80" s="21">
        <f>+P80-T80</f>
        <v>4450.1524499999978</v>
      </c>
      <c r="Y80" s="16"/>
      <c r="Z80" s="20">
        <f>IF(T80=0,0,X80/T80)</f>
        <v>-2.3738293321588002</v>
      </c>
    </row>
    <row r="81" spans="1:26" x14ac:dyDescent="0.3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">
      <c r="A82" s="52"/>
      <c r="B82" s="10" t="s">
        <v>128</v>
      </c>
      <c r="C82" s="10"/>
      <c r="D82" s="4">
        <v>2467.8200000000002</v>
      </c>
      <c r="E82" s="4"/>
      <c r="F82" s="12">
        <f>IF(D$12=0,0,D82/D$12)</f>
        <v>0.14943316616751057</v>
      </c>
      <c r="G82" s="4"/>
      <c r="H82" s="4">
        <v>5229</v>
      </c>
      <c r="I82" s="4"/>
      <c r="J82" s="12">
        <f>IF(H$12=0,0,H82/H$12)</f>
        <v>0.10060412498076035</v>
      </c>
      <c r="K82" s="4"/>
      <c r="L82" s="4">
        <f>+D82-H82</f>
        <v>-2761.18</v>
      </c>
      <c r="M82" s="4"/>
      <c r="N82" s="12">
        <f>IF(H82=0,0,L82/H82)</f>
        <v>-0.52805125262956587</v>
      </c>
      <c r="O82" s="10"/>
      <c r="P82" s="4">
        <v>2467.8200000000002</v>
      </c>
      <c r="Q82" s="4"/>
      <c r="R82" s="12">
        <f>IF(P$12=0,0,P82/P$12)</f>
        <v>0.14943316616751057</v>
      </c>
      <c r="S82" s="4"/>
      <c r="T82" s="4">
        <v>6086</v>
      </c>
      <c r="U82" s="4"/>
      <c r="V82" s="12">
        <f>IF(T$12=0,0,T82/T$12)</f>
        <v>0.11199440580030179</v>
      </c>
      <c r="W82" s="4"/>
      <c r="X82" s="4">
        <f>+P82-T82</f>
        <v>-3618.18</v>
      </c>
      <c r="Y82" s="4"/>
      <c r="Z82" s="12">
        <f>IF(T82=0,0,X82/T82)</f>
        <v>-0.59450870851133741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35">
      <c r="A84" s="10"/>
      <c r="B84" s="26" t="s">
        <v>126</v>
      </c>
      <c r="C84" s="26"/>
      <c r="D84" s="30">
        <f>+D80-D82</f>
        <v>870.6599999999994</v>
      </c>
      <c r="E84" s="13"/>
      <c r="F84" s="35">
        <f>IF(D$12=0,0,D84/D$12)</f>
        <v>5.2720814506489397E-2</v>
      </c>
      <c r="G84" s="13"/>
      <c r="H84" s="30">
        <f>+H80-H82</f>
        <v>4184.3678</v>
      </c>
      <c r="I84" s="13"/>
      <c r="J84" s="35">
        <f>IF(H$12=0,0,H84/H$12)</f>
        <v>8.0505768046790827E-2</v>
      </c>
      <c r="K84" s="16"/>
      <c r="L84" s="30">
        <f>D84-H84</f>
        <v>-3313.7078000000006</v>
      </c>
      <c r="M84" s="16"/>
      <c r="N84" s="35">
        <f>IF(H84=0,0,L84/H84)</f>
        <v>-0.79192555683083132</v>
      </c>
      <c r="O84" s="25"/>
      <c r="P84" s="30">
        <f>+P80-P82</f>
        <v>107.6599999999994</v>
      </c>
      <c r="Q84" s="13"/>
      <c r="R84" s="35">
        <f>IF(P$12=0,0,P84/P$12)</f>
        <v>6.5191037715854874E-3</v>
      </c>
      <c r="S84" s="13"/>
      <c r="T84" s="30">
        <f>+T80-T82</f>
        <v>-7960.6724499999982</v>
      </c>
      <c r="U84" s="13"/>
      <c r="V84" s="35">
        <f>IF(T$12=0,0,T84/T$12)</f>
        <v>-0.14649207703065764</v>
      </c>
      <c r="W84" s="16"/>
      <c r="X84" s="30">
        <f>P84-T84</f>
        <v>8068.3324499999981</v>
      </c>
      <c r="Y84" s="16"/>
      <c r="Z84" s="35">
        <f>IF(T84=0,0,X84/T84)</f>
        <v>-1.0135239831403942</v>
      </c>
    </row>
    <row r="85" spans="1:26" ht="15" thickTop="1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" thickBot="1" x14ac:dyDescent="0.35">
      <c r="A87" s="10"/>
      <c r="B87" s="26" t="s">
        <v>294</v>
      </c>
      <c r="C87" s="26"/>
      <c r="D87" s="32">
        <f>SUM(D84:D86)</f>
        <v>870.6599999999994</v>
      </c>
      <c r="E87" s="13"/>
      <c r="F87" s="34">
        <f>IF(D$12=0,0,D87/D$12)</f>
        <v>5.2720814506489397E-2</v>
      </c>
      <c r="G87" s="13"/>
      <c r="H87" s="32">
        <f>SUM(H84:H86)</f>
        <v>4184.3678</v>
      </c>
      <c r="I87" s="13"/>
      <c r="J87" s="34">
        <f>IF(H$12=0,0,H87/H$12)</f>
        <v>8.0505768046790827E-2</v>
      </c>
      <c r="K87" s="16"/>
      <c r="L87" s="32">
        <f>+D87-H87</f>
        <v>-3313.7078000000006</v>
      </c>
      <c r="M87" s="16"/>
      <c r="N87" s="34">
        <f>IF(H87=0,0,L87/H87)</f>
        <v>-0.79192555683083132</v>
      </c>
      <c r="O87" s="25"/>
      <c r="P87" s="32">
        <f>SUM(P84:P86)</f>
        <v>107.6599999999994</v>
      </c>
      <c r="Q87" s="13"/>
      <c r="R87" s="34">
        <f>IF(P$12=0,0,P87/P$12)</f>
        <v>6.5191037715854874E-3</v>
      </c>
      <c r="S87" s="13"/>
      <c r="T87" s="32">
        <f>SUM(T84:T86)</f>
        <v>-7960.6724499999982</v>
      </c>
      <c r="U87" s="13"/>
      <c r="V87" s="34">
        <f>IF(T$12=0,0,T87/T$12)</f>
        <v>-0.14649207703065764</v>
      </c>
      <c r="W87" s="16"/>
      <c r="X87" s="32">
        <f>+P87-T87</f>
        <v>8068.3324499999981</v>
      </c>
      <c r="Y87" s="16"/>
      <c r="Z87" s="34">
        <f>IF(T87=0,0,X87/T87)</f>
        <v>-1.0135239831403942</v>
      </c>
    </row>
    <row r="88" spans="1:26" ht="15" thickTop="1" x14ac:dyDescent="0.3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A89" s="9"/>
      <c r="B89" s="61">
        <v>44470.835499687499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8" t="s">
        <v>56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55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9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1009670.64</v>
      </c>
      <c r="E12" s="4"/>
      <c r="F12" s="12"/>
      <c r="G12" s="4"/>
      <c r="H12" s="4">
        <f>SUM(OSRRefH13x_0)</f>
        <v>2197805</v>
      </c>
      <c r="I12" s="4"/>
      <c r="J12" s="12"/>
      <c r="K12" s="4"/>
      <c r="L12" s="4">
        <f t="shared" ref="L12:L16" si="0">+D12-H12</f>
        <v>-1188134.3599999999</v>
      </c>
      <c r="M12" s="4"/>
      <c r="N12" s="12">
        <f t="shared" ref="N12:N16" si="1">IF(H12=0,0,L12/H12)</f>
        <v>-0.54060044453443312</v>
      </c>
      <c r="O12" s="10"/>
      <c r="P12" s="4">
        <f>SUM(OSRRefP13x_0)</f>
        <v>1071785.46</v>
      </c>
      <c r="Q12" s="4"/>
      <c r="R12" s="12"/>
      <c r="S12" s="4"/>
      <c r="T12" s="4">
        <f>SUM(OSRRefT13x_0)</f>
        <v>2283365</v>
      </c>
      <c r="U12" s="4"/>
      <c r="V12" s="12"/>
      <c r="W12" s="4"/>
      <c r="X12" s="4">
        <f t="shared" ref="X12:X16" si="2">+P12-T12</f>
        <v>-1211579.54</v>
      </c>
      <c r="Y12" s="4"/>
      <c r="Z12" s="12">
        <f t="shared" ref="Z12:Z16" si="3">IF(T12=0,0,X12/T12)</f>
        <v>-0.53061141779785537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--738389.15</f>
        <v>738389.15</v>
      </c>
      <c r="E13" s="2"/>
      <c r="F13" s="19"/>
      <c r="G13" s="2"/>
      <c r="H13" s="2">
        <v>2197805</v>
      </c>
      <c r="I13" s="2"/>
      <c r="J13" s="19"/>
      <c r="K13" s="2"/>
      <c r="L13" s="2">
        <f t="shared" si="0"/>
        <v>-1459415.85</v>
      </c>
      <c r="M13" s="2"/>
      <c r="N13" s="19">
        <f t="shared" si="1"/>
        <v>-0.66403336510745958</v>
      </c>
      <c r="O13" s="11"/>
      <c r="P13" s="2">
        <f>--773223.06</f>
        <v>773223.06</v>
      </c>
      <c r="Q13" s="2"/>
      <c r="R13" s="19"/>
      <c r="S13" s="2"/>
      <c r="T13" s="2">
        <v>2283365</v>
      </c>
      <c r="U13" s="2"/>
      <c r="V13" s="19"/>
      <c r="W13" s="2"/>
      <c r="X13" s="2">
        <f t="shared" si="2"/>
        <v>-1510141.94</v>
      </c>
      <c r="Y13" s="2"/>
      <c r="Z13" s="19">
        <f t="shared" si="3"/>
        <v>-0.6613668598756659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--298959.6</f>
        <v>298959.59999999998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298959.59999999998</v>
      </c>
      <c r="M14" s="2"/>
      <c r="N14" s="19">
        <f t="shared" si="1"/>
        <v>0</v>
      </c>
      <c r="O14" s="11"/>
      <c r="P14" s="2">
        <f>--328143.9</f>
        <v>328143.90000000002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328143.90000000002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-11488.38</f>
        <v>-11488.38</v>
      </c>
      <c r="E15" s="2"/>
      <c r="F15" s="19"/>
      <c r="G15" s="2"/>
      <c r="H15" s="2"/>
      <c r="I15" s="2"/>
      <c r="J15" s="19"/>
      <c r="K15" s="2"/>
      <c r="L15" s="2">
        <f t="shared" si="0"/>
        <v>-11488.38</v>
      </c>
      <c r="M15" s="2"/>
      <c r="N15" s="19">
        <f t="shared" si="1"/>
        <v>0</v>
      </c>
      <c r="O15" s="11"/>
      <c r="P15" s="2">
        <f>-12409.04</f>
        <v>-12409.04</v>
      </c>
      <c r="Q15" s="2"/>
      <c r="R15" s="19"/>
      <c r="S15" s="2"/>
      <c r="T15" s="2"/>
      <c r="U15" s="2"/>
      <c r="V15" s="19"/>
      <c r="W15" s="2"/>
      <c r="X15" s="2">
        <f t="shared" si="2"/>
        <v>-12409.04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-16189.73</f>
        <v>-16189.73</v>
      </c>
      <c r="E16" s="2"/>
      <c r="F16" s="19"/>
      <c r="G16" s="2"/>
      <c r="H16" s="2"/>
      <c r="I16" s="2"/>
      <c r="J16" s="19"/>
      <c r="K16" s="2"/>
      <c r="L16" s="2">
        <f t="shared" si="0"/>
        <v>-16189.73</v>
      </c>
      <c r="M16" s="2"/>
      <c r="N16" s="19">
        <f t="shared" si="1"/>
        <v>0</v>
      </c>
      <c r="O16" s="11"/>
      <c r="P16" s="2">
        <f>-17172.46</f>
        <v>-17172.46</v>
      </c>
      <c r="Q16" s="2"/>
      <c r="R16" s="19"/>
      <c r="S16" s="2"/>
      <c r="T16" s="2"/>
      <c r="U16" s="2"/>
      <c r="V16" s="19"/>
      <c r="W16" s="2"/>
      <c r="X16" s="2">
        <f t="shared" si="2"/>
        <v>-17172.46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802451.48</v>
      </c>
      <c r="E18" s="4"/>
      <c r="F18" s="12">
        <f t="shared" ref="F18:F28" si="4">IF(D$12=0,0,D18/D$12)</f>
        <v>0.79476558811297116</v>
      </c>
      <c r="G18" s="4"/>
      <c r="H18" s="4">
        <f>SUM(OSRRefH16x_0)</f>
        <v>1589922</v>
      </c>
      <c r="I18" s="4"/>
      <c r="J18" s="12">
        <f t="shared" ref="J18:J28" si="5">IF(H$12=0,0,H18/H$12)</f>
        <v>0.72341358764767572</v>
      </c>
      <c r="K18" s="4"/>
      <c r="L18" s="4">
        <f t="shared" ref="L18:L28" si="6">+D18-H18</f>
        <v>-787470.52</v>
      </c>
      <c r="M18" s="4"/>
      <c r="N18" s="12">
        <f t="shared" ref="N18:N28" si="7">IF(H18=0,0,L18/H18)</f>
        <v>-0.49528877517261855</v>
      </c>
      <c r="O18" s="10"/>
      <c r="P18" s="4">
        <f>SUM(OSRRefP16x_0)</f>
        <v>847153.22999999986</v>
      </c>
      <c r="Q18" s="4"/>
      <c r="R18" s="12">
        <f t="shared" ref="R18:R28" si="8">IF(P$12=0,0,P18/P$12)</f>
        <v>0.79041306456984395</v>
      </c>
      <c r="S18" s="4"/>
      <c r="T18" s="4">
        <f>SUM(OSRRefT16x_0)</f>
        <v>1651775</v>
      </c>
      <c r="U18" s="4"/>
      <c r="V18" s="12">
        <f t="shared" ref="V18:V28" si="9">IF(T$12=0,0,T18/T$12)</f>
        <v>0.72339507700258177</v>
      </c>
      <c r="W18" s="4"/>
      <c r="X18" s="4">
        <f t="shared" ref="X18:X28" si="10">+P18-T18</f>
        <v>-804621.77000000014</v>
      </c>
      <c r="Y18" s="4"/>
      <c r="Z18" s="12">
        <f t="shared" ref="Z18:Z28" si="11">IF(T18=0,0,X18/T18)</f>
        <v>-0.48712552859802344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422783.67</v>
      </c>
      <c r="E19" s="2"/>
      <c r="F19" s="19">
        <f t="shared" si="4"/>
        <v>0.41873424189099923</v>
      </c>
      <c r="G19" s="2"/>
      <c r="H19" s="2">
        <v>1589922</v>
      </c>
      <c r="I19" s="2"/>
      <c r="J19" s="19">
        <f t="shared" si="5"/>
        <v>0.72341358764767572</v>
      </c>
      <c r="K19" s="2"/>
      <c r="L19" s="2">
        <f t="shared" si="6"/>
        <v>-1167138.33</v>
      </c>
      <c r="M19" s="2"/>
      <c r="N19" s="19">
        <f t="shared" si="7"/>
        <v>-0.73408527588145833</v>
      </c>
      <c r="O19" s="11"/>
      <c r="P19" s="2">
        <v>687001.71</v>
      </c>
      <c r="Q19" s="2"/>
      <c r="R19" s="19">
        <f t="shared" si="8"/>
        <v>0.6409880854326947</v>
      </c>
      <c r="S19" s="2"/>
      <c r="T19" s="2">
        <v>1651775</v>
      </c>
      <c r="U19" s="2"/>
      <c r="V19" s="19">
        <f t="shared" si="9"/>
        <v>0.72339507700258177</v>
      </c>
      <c r="W19" s="2"/>
      <c r="X19" s="2">
        <f t="shared" si="10"/>
        <v>-964773.29</v>
      </c>
      <c r="Y19" s="2"/>
      <c r="Z19" s="19">
        <f t="shared" si="11"/>
        <v>-0.58408275340164373</v>
      </c>
    </row>
    <row r="20" spans="1:26" s="24" customFormat="1" hidden="1" outlineLevel="1" x14ac:dyDescent="0.3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"5004", " - ", "PURCHASES @ COST-DIGITAL TEXT")</f>
        <v xml:space="preserve">          5004 - PURCHASES @ COST-DIGITAL TEXT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-223271.06</v>
      </c>
      <c r="E23" s="2"/>
      <c r="F23" s="19">
        <f t="shared" si="4"/>
        <v>-0.2211325665565555</v>
      </c>
      <c r="G23" s="2"/>
      <c r="H23" s="2"/>
      <c r="I23" s="2"/>
      <c r="J23" s="19">
        <f t="shared" si="5"/>
        <v>0</v>
      </c>
      <c r="K23" s="2"/>
      <c r="L23" s="2">
        <f t="shared" si="6"/>
        <v>-223271.06</v>
      </c>
      <c r="M23" s="2"/>
      <c r="N23" s="19">
        <f t="shared" si="7"/>
        <v>0</v>
      </c>
      <c r="O23" s="11"/>
      <c r="P23" s="2">
        <v>-487662.78</v>
      </c>
      <c r="Q23" s="2"/>
      <c r="R23" s="19">
        <f t="shared" si="8"/>
        <v>-0.45500036919702197</v>
      </c>
      <c r="S23" s="2"/>
      <c r="T23" s="2"/>
      <c r="U23" s="2"/>
      <c r="V23" s="19">
        <f t="shared" si="9"/>
        <v>0</v>
      </c>
      <c r="W23" s="2"/>
      <c r="X23" s="2">
        <f t="shared" si="10"/>
        <v>-487662.78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"5300", " - ", "COG$ OFFSET")</f>
        <v xml:space="preserve">          5300 - COG$ OFFSET</v>
      </c>
      <c r="C24" s="11"/>
      <c r="D24" s="2">
        <v>599500.85</v>
      </c>
      <c r="E24" s="2"/>
      <c r="F24" s="19">
        <f t="shared" si="4"/>
        <v>0.59375882218383602</v>
      </c>
      <c r="G24" s="2"/>
      <c r="H24" s="2"/>
      <c r="I24" s="2"/>
      <c r="J24" s="19">
        <f t="shared" si="5"/>
        <v>0</v>
      </c>
      <c r="K24" s="2"/>
      <c r="L24" s="2">
        <f t="shared" si="6"/>
        <v>599500.85</v>
      </c>
      <c r="M24" s="2"/>
      <c r="N24" s="19">
        <f t="shared" si="7"/>
        <v>0</v>
      </c>
      <c r="O24" s="11"/>
      <c r="P24" s="2">
        <v>642192.56999999995</v>
      </c>
      <c r="Q24" s="2"/>
      <c r="R24" s="19">
        <f t="shared" si="8"/>
        <v>0.59918014748959181</v>
      </c>
      <c r="S24" s="2"/>
      <c r="T24" s="2"/>
      <c r="U24" s="2"/>
      <c r="V24" s="19">
        <f t="shared" si="9"/>
        <v>0</v>
      </c>
      <c r="W24" s="2"/>
      <c r="X24" s="2">
        <f t="shared" si="10"/>
        <v>642192.56999999995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"5500", " - ", "FREIGHT-IN")</f>
        <v xml:space="preserve">          5500 - FREIGHT-IN</v>
      </c>
      <c r="C25" s="11"/>
      <c r="D25" s="2">
        <v>3438.02</v>
      </c>
      <c r="E25" s="2"/>
      <c r="F25" s="19">
        <f t="shared" si="4"/>
        <v>3.4050905946913538E-3</v>
      </c>
      <c r="G25" s="2"/>
      <c r="H25" s="2"/>
      <c r="I25" s="2"/>
      <c r="J25" s="19">
        <f t="shared" si="5"/>
        <v>0</v>
      </c>
      <c r="K25" s="2"/>
      <c r="L25" s="2">
        <f t="shared" si="6"/>
        <v>3438.02</v>
      </c>
      <c r="M25" s="2"/>
      <c r="N25" s="19">
        <f t="shared" si="7"/>
        <v>0</v>
      </c>
      <c r="O25" s="11"/>
      <c r="P25" s="2">
        <v>5621.73</v>
      </c>
      <c r="Q25" s="2"/>
      <c r="R25" s="19">
        <f t="shared" si="8"/>
        <v>5.2452008445794734E-3</v>
      </c>
      <c r="S25" s="2"/>
      <c r="T25" s="2"/>
      <c r="U25" s="2"/>
      <c r="V25" s="19">
        <f t="shared" si="9"/>
        <v>0</v>
      </c>
      <c r="W25" s="2"/>
      <c r="X25" s="2">
        <f t="shared" si="10"/>
        <v>5621.73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"5501", " - ", "FREIGHT-IN-NEW TEXT")</f>
        <v xml:space="preserve">          5501 - FREIGHT-IN-NEW TEXT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"5502", " - ", "FREIGHT-IN-USED TEXT")</f>
        <v xml:space="preserve">          5502 - FREIGHT-IN-USED TEXT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"5518", " - ", "FREIGHT-IN-STUDY GUIDES")</f>
        <v xml:space="preserve">          5518 - FREIGHT-IN-STUDY GUIDES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108</v>
      </c>
      <c r="C30" s="26"/>
      <c r="D30" s="21">
        <f>D12-D18</f>
        <v>207219.16000000003</v>
      </c>
      <c r="E30" s="13"/>
      <c r="F30" s="20">
        <f>IF(D$12=0,0,D30/D$12)</f>
        <v>0.20523441188702884</v>
      </c>
      <c r="G30" s="13"/>
      <c r="H30" s="21">
        <f>H12-H18</f>
        <v>607883</v>
      </c>
      <c r="I30" s="13"/>
      <c r="J30" s="20">
        <f>IF(H$12=0,0,H30/H$12)</f>
        <v>0.27658641235232423</v>
      </c>
      <c r="K30" s="16"/>
      <c r="L30" s="21">
        <f>+D30-H30</f>
        <v>-400663.83999999997</v>
      </c>
      <c r="M30" s="16"/>
      <c r="N30" s="20">
        <f>IF(H30=0,0,L30/H30)</f>
        <v>-0.65911341491701525</v>
      </c>
      <c r="O30" s="25"/>
      <c r="P30" s="21">
        <f>P12-P18</f>
        <v>224632.2300000001</v>
      </c>
      <c r="Q30" s="13"/>
      <c r="R30" s="20">
        <f>IF(P$12=0,0,P30/P$12)</f>
        <v>0.20958693543015605</v>
      </c>
      <c r="S30" s="13"/>
      <c r="T30" s="21">
        <f>T12-T18</f>
        <v>631590</v>
      </c>
      <c r="U30" s="13"/>
      <c r="V30" s="20">
        <f>IF(T$12=0,0,T30/T$12)</f>
        <v>0.27660492299741829</v>
      </c>
      <c r="W30" s="16"/>
      <c r="X30" s="21">
        <f>+P30-T30</f>
        <v>-406957.7699999999</v>
      </c>
      <c r="Y30" s="16"/>
      <c r="Z30" s="20">
        <f>IF(T30=0,0,X30/T30)</f>
        <v>-0.64433852657578472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2">
        <f>SUM(OSRRefD22x_0)</f>
        <v>53160.810000000005</v>
      </c>
      <c r="E32" s="22"/>
      <c r="F32" s="31">
        <f t="shared" ref="F32:F43" si="12">IF(D$12=0,0,D32/D$12)</f>
        <v>5.2651634992575407E-2</v>
      </c>
      <c r="G32" s="22"/>
      <c r="H32" s="22">
        <f>SUM(OSRRefH22x_0)</f>
        <v>64873.462538989719</v>
      </c>
      <c r="I32" s="22"/>
      <c r="J32" s="31">
        <f t="shared" ref="J32:J43" si="13">IF(H$12=0,0,H32/H$12)</f>
        <v>2.951738782057085E-2</v>
      </c>
      <c r="K32" s="4"/>
      <c r="L32" s="22">
        <f t="shared" ref="L32:L43" si="14">+D32-H32</f>
        <v>-11712.652538989714</v>
      </c>
      <c r="M32" s="4"/>
      <c r="N32" s="31">
        <f t="shared" ref="N32:N43" si="15">IF(H32=0,0,L32/H32)</f>
        <v>-0.18054612904236877</v>
      </c>
      <c r="O32" s="10"/>
      <c r="P32" s="22">
        <f>SUM(OSRRefP22x_0)</f>
        <v>102301.55000000002</v>
      </c>
      <c r="Q32" s="22"/>
      <c r="R32" s="31">
        <f t="shared" ref="R32:R43" si="16">IF(P$12=0,0,P32/P$12)</f>
        <v>9.5449652769127896E-2</v>
      </c>
      <c r="S32" s="22"/>
      <c r="T32" s="22">
        <f>SUM(OSRRefT22x_0)</f>
        <v>119577.87610772692</v>
      </c>
      <c r="U32" s="22"/>
      <c r="V32" s="31">
        <f t="shared" ref="V32:V43" si="17">IF(T$12=0,0,T32/T$12)</f>
        <v>5.2369146460476933E-2</v>
      </c>
      <c r="W32" s="4"/>
      <c r="X32" s="22">
        <f t="shared" ref="X32:X43" si="18">+P32-T32</f>
        <v>-17276.326107726898</v>
      </c>
      <c r="Y32" s="4"/>
      <c r="Z32" s="31">
        <f t="shared" ref="Z32:Z43" si="19">IF(T32=0,0,X32/T32)</f>
        <v>-0.14447761300060866</v>
      </c>
    </row>
    <row r="33" spans="1:26" s="28" customFormat="1" outlineLevel="1" collapsed="1" x14ac:dyDescent="0.3">
      <c r="A33" s="29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12699.169999999998</v>
      </c>
      <c r="E33" s="1"/>
      <c r="F33" s="5">
        <f t="shared" si="12"/>
        <v>1.2577537165981175E-2</v>
      </c>
      <c r="G33" s="1"/>
      <c r="H33" s="1">
        <f>SUM(OSRRefH22_0x_0)</f>
        <v>15283.178993735915</v>
      </c>
      <c r="I33" s="1"/>
      <c r="J33" s="5">
        <f t="shared" si="13"/>
        <v>6.9538375760069323E-3</v>
      </c>
      <c r="K33" s="1"/>
      <c r="L33" s="1">
        <f t="shared" si="14"/>
        <v>-2584.0089937359171</v>
      </c>
      <c r="M33" s="1"/>
      <c r="N33" s="5">
        <f t="shared" si="15"/>
        <v>-0.16907536022414049</v>
      </c>
      <c r="O33" s="14"/>
      <c r="P33" s="1">
        <f>SUM(OSRRefP22_0x_0)</f>
        <v>24502.239999999998</v>
      </c>
      <c r="Q33" s="1"/>
      <c r="R33" s="5">
        <f t="shared" si="16"/>
        <v>2.2861142378251705E-2</v>
      </c>
      <c r="S33" s="1"/>
      <c r="T33" s="1">
        <f>SUM(OSRRefT22_0x_0)</f>
        <v>31045.738130905815</v>
      </c>
      <c r="U33" s="1"/>
      <c r="V33" s="5">
        <f t="shared" si="17"/>
        <v>1.3596485069581873E-2</v>
      </c>
      <c r="W33" s="1"/>
      <c r="X33" s="1">
        <f t="shared" si="18"/>
        <v>-6543.4981309058167</v>
      </c>
      <c r="Y33" s="1"/>
      <c r="Z33" s="5">
        <f t="shared" si="19"/>
        <v>-0.21076961041527983</v>
      </c>
    </row>
    <row r="34" spans="1:26" s="24" customFormat="1" hidden="1" outlineLevel="2" x14ac:dyDescent="0.3">
      <c r="A34" s="27"/>
      <c r="B34" s="11" t="str">
        <f>CONCATENATE("          ", "6111", " - ", "F.I.C.A.")</f>
        <v xml:space="preserve">          6111 - F.I.C.A.</v>
      </c>
      <c r="C34" s="11"/>
      <c r="D34" s="6">
        <v>2560.6999999999998</v>
      </c>
      <c r="E34" s="2"/>
      <c r="F34" s="7">
        <f t="shared" si="12"/>
        <v>2.536173578346301E-3</v>
      </c>
      <c r="G34" s="2"/>
      <c r="H34" s="6">
        <v>2867.81730197977</v>
      </c>
      <c r="I34" s="2"/>
      <c r="J34" s="7">
        <f t="shared" si="13"/>
        <v>1.3048552087104042E-3</v>
      </c>
      <c r="K34" s="2"/>
      <c r="L34" s="6">
        <f t="shared" si="14"/>
        <v>-307.11730197977022</v>
      </c>
      <c r="M34" s="2"/>
      <c r="N34" s="7">
        <f t="shared" si="15"/>
        <v>-0.10709095790995987</v>
      </c>
      <c r="O34" s="11"/>
      <c r="P34" s="6">
        <v>4664.3100000000004</v>
      </c>
      <c r="Q34" s="2"/>
      <c r="R34" s="7">
        <f t="shared" si="16"/>
        <v>4.3519063973866566E-3</v>
      </c>
      <c r="S34" s="2"/>
      <c r="T34" s="6">
        <v>5451.8826494544801</v>
      </c>
      <c r="U34" s="2"/>
      <c r="V34" s="7">
        <f t="shared" si="17"/>
        <v>2.3876527184460128E-3</v>
      </c>
      <c r="W34" s="2"/>
      <c r="X34" s="6">
        <f t="shared" si="18"/>
        <v>-787.57264945447969</v>
      </c>
      <c r="Y34" s="2"/>
      <c r="Z34" s="7">
        <f t="shared" si="19"/>
        <v>-0.14445884111854185</v>
      </c>
    </row>
    <row r="35" spans="1:26" s="24" customFormat="1" hidden="1" outlineLevel="2" x14ac:dyDescent="0.3">
      <c r="A35" s="27"/>
      <c r="B35" s="11" t="str">
        <f>CONCATENATE("          ", "6112", " - ", "COMPENSATION INSURANCE")</f>
        <v xml:space="preserve">          6112 - COMPENSATION INSURANCE</v>
      </c>
      <c r="C35" s="11"/>
      <c r="D35" s="6">
        <v>471.05</v>
      </c>
      <c r="E35" s="2"/>
      <c r="F35" s="7">
        <f t="shared" si="12"/>
        <v>4.6653827628383848E-4</v>
      </c>
      <c r="G35" s="2"/>
      <c r="H35" s="6">
        <v>747.64735547999999</v>
      </c>
      <c r="I35" s="2"/>
      <c r="J35" s="7">
        <f t="shared" si="13"/>
        <v>3.401791130150309E-4</v>
      </c>
      <c r="K35" s="2"/>
      <c r="L35" s="6">
        <f t="shared" si="14"/>
        <v>-276.59735547999998</v>
      </c>
      <c r="M35" s="2"/>
      <c r="N35" s="7">
        <f t="shared" si="15"/>
        <v>-0.36995697697936836</v>
      </c>
      <c r="O35" s="11"/>
      <c r="P35" s="6">
        <v>853.56</v>
      </c>
      <c r="Q35" s="2"/>
      <c r="R35" s="7">
        <f t="shared" si="16"/>
        <v>7.9639072543492048E-4</v>
      </c>
      <c r="S35" s="2"/>
      <c r="T35" s="6">
        <v>1336.94344983</v>
      </c>
      <c r="U35" s="2"/>
      <c r="V35" s="7">
        <f t="shared" si="17"/>
        <v>5.8551455848276555E-4</v>
      </c>
      <c r="W35" s="2"/>
      <c r="X35" s="6">
        <f t="shared" si="18"/>
        <v>-483.38344983000002</v>
      </c>
      <c r="Y35" s="2"/>
      <c r="Z35" s="7">
        <f t="shared" si="19"/>
        <v>-0.36155863577585501</v>
      </c>
    </row>
    <row r="36" spans="1:26" s="24" customFormat="1" hidden="1" outlineLevel="2" x14ac:dyDescent="0.3">
      <c r="A36" s="27"/>
      <c r="B36" s="11" t="str">
        <f>CONCATENATE("          ", "6113", " - ", "GROUP INSURANCE")</f>
        <v xml:space="preserve">          6113 - GROUP INSURANCE</v>
      </c>
      <c r="C36" s="11"/>
      <c r="D36" s="6">
        <v>4593.8599999999997</v>
      </c>
      <c r="E36" s="2"/>
      <c r="F36" s="7">
        <f t="shared" si="12"/>
        <v>4.5498599424461817E-3</v>
      </c>
      <c r="G36" s="2"/>
      <c r="H36" s="6">
        <v>5314</v>
      </c>
      <c r="I36" s="2"/>
      <c r="J36" s="7">
        <f t="shared" si="13"/>
        <v>2.4178669172196807E-3</v>
      </c>
      <c r="K36" s="2"/>
      <c r="L36" s="6">
        <f t="shared" si="14"/>
        <v>-720.14000000000033</v>
      </c>
      <c r="M36" s="2"/>
      <c r="N36" s="7">
        <f t="shared" si="15"/>
        <v>-0.13551750094091086</v>
      </c>
      <c r="O36" s="11"/>
      <c r="P36" s="6">
        <v>9187.7199999999993</v>
      </c>
      <c r="Q36" s="2"/>
      <c r="R36" s="7">
        <f t="shared" si="16"/>
        <v>8.5723499178650912E-3</v>
      </c>
      <c r="S36" s="2"/>
      <c r="T36" s="6">
        <v>10934</v>
      </c>
      <c r="U36" s="2"/>
      <c r="V36" s="7">
        <f t="shared" si="17"/>
        <v>4.788546728184062E-3</v>
      </c>
      <c r="W36" s="2"/>
      <c r="X36" s="6">
        <f t="shared" si="18"/>
        <v>-1746.2800000000007</v>
      </c>
      <c r="Y36" s="2"/>
      <c r="Z36" s="7">
        <f t="shared" si="19"/>
        <v>-0.15971099323212004</v>
      </c>
    </row>
    <row r="37" spans="1:26" s="24" customFormat="1" hidden="1" outlineLevel="2" x14ac:dyDescent="0.3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6">
        <v>93.92</v>
      </c>
      <c r="E37" s="2"/>
      <c r="F37" s="7">
        <f t="shared" si="12"/>
        <v>9.3020432880964039E-5</v>
      </c>
      <c r="G37" s="2"/>
      <c r="H37" s="6">
        <v>100.64483631461501</v>
      </c>
      <c r="I37" s="2"/>
      <c r="J37" s="7">
        <f t="shared" si="13"/>
        <v>4.5793342136638601E-5</v>
      </c>
      <c r="K37" s="2"/>
      <c r="L37" s="6">
        <f t="shared" si="14"/>
        <v>-6.7248363146150041</v>
      </c>
      <c r="M37" s="2"/>
      <c r="N37" s="7">
        <f t="shared" si="15"/>
        <v>-6.6817499643928233E-2</v>
      </c>
      <c r="O37" s="11"/>
      <c r="P37" s="6">
        <v>168.63</v>
      </c>
      <c r="Q37" s="2"/>
      <c r="R37" s="7">
        <f t="shared" si="16"/>
        <v>1.5733559214359933E-4</v>
      </c>
      <c r="S37" s="2"/>
      <c r="T37" s="6">
        <v>179.97315670788399</v>
      </c>
      <c r="U37" s="2"/>
      <c r="V37" s="7">
        <f t="shared" si="17"/>
        <v>7.8819267488064324E-5</v>
      </c>
      <c r="W37" s="2"/>
      <c r="X37" s="6">
        <f t="shared" si="18"/>
        <v>-11.343156707883992</v>
      </c>
      <c r="Y37" s="2"/>
      <c r="Z37" s="7">
        <f t="shared" si="19"/>
        <v>-6.3026936435277237E-2</v>
      </c>
    </row>
    <row r="38" spans="1:26" s="24" customFormat="1" hidden="1" outlineLevel="2" x14ac:dyDescent="0.3">
      <c r="A38" s="27"/>
      <c r="B38" s="11" t="str">
        <f>CONCATENATE("          ", "6115", " - ", "P.E.R.S.")</f>
        <v xml:space="preserve">          6115 - P.E.R.S.</v>
      </c>
      <c r="C38" s="11"/>
      <c r="D38" s="6">
        <v>1607.1</v>
      </c>
      <c r="E38" s="2"/>
      <c r="F38" s="7">
        <f t="shared" si="12"/>
        <v>1.5917071729450308E-3</v>
      </c>
      <c r="G38" s="2"/>
      <c r="H38" s="6">
        <v>1664.68278164615</v>
      </c>
      <c r="I38" s="2"/>
      <c r="J38" s="7">
        <f t="shared" si="13"/>
        <v>7.5742969992613084E-4</v>
      </c>
      <c r="K38" s="2"/>
      <c r="L38" s="6">
        <f t="shared" si="14"/>
        <v>-57.582781646150124</v>
      </c>
      <c r="M38" s="2"/>
      <c r="N38" s="7">
        <f t="shared" si="15"/>
        <v>-3.4590843541499487E-2</v>
      </c>
      <c r="O38" s="11"/>
      <c r="P38" s="6">
        <v>3214.2</v>
      </c>
      <c r="Q38" s="2"/>
      <c r="R38" s="7">
        <f t="shared" si="16"/>
        <v>2.9989210713868052E-3</v>
      </c>
      <c r="S38" s="2"/>
      <c r="T38" s="6">
        <v>3745.5362587038398</v>
      </c>
      <c r="U38" s="2"/>
      <c r="V38" s="7">
        <f t="shared" si="17"/>
        <v>1.6403580937361481E-3</v>
      </c>
      <c r="W38" s="2"/>
      <c r="X38" s="6">
        <f t="shared" si="18"/>
        <v>-531.33625870384003</v>
      </c>
      <c r="Y38" s="2"/>
      <c r="Z38" s="7">
        <f t="shared" si="19"/>
        <v>-0.14185852759244449</v>
      </c>
    </row>
    <row r="39" spans="1:26" s="24" customFormat="1" hidden="1" outlineLevel="2" x14ac:dyDescent="0.3">
      <c r="A39" s="27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7"/>
      <c r="B40" s="11" t="str">
        <f>CONCATENATE("          ", "6117", " - ", "RETIREMENT STAFF HOURLY")</f>
        <v xml:space="preserve">          6117 - RETIREMENT STAFF HOURLY</v>
      </c>
      <c r="C40" s="11"/>
      <c r="D40" s="6">
        <v>532.32000000000005</v>
      </c>
      <c r="E40" s="2"/>
      <c r="F40" s="7">
        <f t="shared" si="12"/>
        <v>5.2722143133725273E-4</v>
      </c>
      <c r="G40" s="2"/>
      <c r="H40" s="6"/>
      <c r="I40" s="2"/>
      <c r="J40" s="7">
        <f t="shared" si="13"/>
        <v>0</v>
      </c>
      <c r="K40" s="2"/>
      <c r="L40" s="6">
        <f t="shared" si="14"/>
        <v>532.32000000000005</v>
      </c>
      <c r="M40" s="2"/>
      <c r="N40" s="7">
        <f t="shared" si="15"/>
        <v>0</v>
      </c>
      <c r="O40" s="11"/>
      <c r="P40" s="6">
        <v>785.93</v>
      </c>
      <c r="Q40" s="2"/>
      <c r="R40" s="7">
        <f t="shared" si="16"/>
        <v>7.3329041056406944E-4</v>
      </c>
      <c r="S40" s="2"/>
      <c r="T40" s="6"/>
      <c r="U40" s="2"/>
      <c r="V40" s="7">
        <f t="shared" si="17"/>
        <v>0</v>
      </c>
      <c r="W40" s="2"/>
      <c r="X40" s="6">
        <f t="shared" si="18"/>
        <v>785.93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"6118", " - ", "VACATION")</f>
        <v xml:space="preserve">          6118 - VACATION</v>
      </c>
      <c r="C41" s="11"/>
      <c r="D41" s="6">
        <v>1307.55</v>
      </c>
      <c r="E41" s="2"/>
      <c r="F41" s="7">
        <f t="shared" si="12"/>
        <v>1.2950262671795627E-3</v>
      </c>
      <c r="G41" s="2"/>
      <c r="H41" s="6">
        <v>1689.1935418999999</v>
      </c>
      <c r="I41" s="2"/>
      <c r="J41" s="7">
        <f t="shared" si="13"/>
        <v>7.6858208162234589E-4</v>
      </c>
      <c r="K41" s="2"/>
      <c r="L41" s="6">
        <f t="shared" si="14"/>
        <v>-381.64354189999995</v>
      </c>
      <c r="M41" s="2"/>
      <c r="N41" s="7">
        <f t="shared" si="15"/>
        <v>-0.22593239462112105</v>
      </c>
      <c r="O41" s="11"/>
      <c r="P41" s="6">
        <v>2664.89</v>
      </c>
      <c r="Q41" s="2"/>
      <c r="R41" s="7">
        <f t="shared" si="16"/>
        <v>2.486402455954198E-3</v>
      </c>
      <c r="S41" s="2"/>
      <c r="T41" s="6">
        <v>3800.6854692749998</v>
      </c>
      <c r="U41" s="2"/>
      <c r="V41" s="7">
        <f t="shared" si="17"/>
        <v>1.6645106977093017E-3</v>
      </c>
      <c r="W41" s="2"/>
      <c r="X41" s="6">
        <f t="shared" si="18"/>
        <v>-1135.795469275</v>
      </c>
      <c r="Y41" s="2"/>
      <c r="Z41" s="7">
        <f t="shared" si="19"/>
        <v>-0.29883963786449785</v>
      </c>
    </row>
    <row r="42" spans="1:26" s="24" customFormat="1" hidden="1" outlineLevel="2" x14ac:dyDescent="0.3">
      <c r="A42" s="27"/>
      <c r="B42" s="11" t="str">
        <f>CONCATENATE("          ", "6119", " - ", "SICK LEAVE")</f>
        <v xml:space="preserve">          6119 - SICK LEAVE</v>
      </c>
      <c r="C42" s="11"/>
      <c r="D42" s="6">
        <v>1071.9000000000001</v>
      </c>
      <c r="E42" s="2"/>
      <c r="F42" s="7">
        <f t="shared" si="12"/>
        <v>1.0616333262894522E-3</v>
      </c>
      <c r="G42" s="2"/>
      <c r="H42" s="6">
        <v>1849.1931764153801</v>
      </c>
      <c r="I42" s="2"/>
      <c r="J42" s="7">
        <f t="shared" si="13"/>
        <v>8.4138182250717423E-4</v>
      </c>
      <c r="K42" s="2"/>
      <c r="L42" s="6">
        <f t="shared" si="14"/>
        <v>-777.29317641538</v>
      </c>
      <c r="M42" s="2"/>
      <c r="N42" s="7">
        <f t="shared" si="15"/>
        <v>-0.42034179356109541</v>
      </c>
      <c r="O42" s="11"/>
      <c r="P42" s="6">
        <v>2143.8000000000002</v>
      </c>
      <c r="Q42" s="2"/>
      <c r="R42" s="7">
        <f t="shared" si="16"/>
        <v>2.0002137368051254E-3</v>
      </c>
      <c r="S42" s="2"/>
      <c r="T42" s="6">
        <v>3496.7171469346099</v>
      </c>
      <c r="U42" s="2"/>
      <c r="V42" s="7">
        <f t="shared" si="17"/>
        <v>1.5313877312364032E-3</v>
      </c>
      <c r="W42" s="2"/>
      <c r="X42" s="6">
        <f t="shared" si="18"/>
        <v>-1352.9171469346097</v>
      </c>
      <c r="Y42" s="2"/>
      <c r="Z42" s="7">
        <f t="shared" si="19"/>
        <v>-0.38691066222517934</v>
      </c>
    </row>
    <row r="43" spans="1:26" s="24" customFormat="1" hidden="1" outlineLevel="2" x14ac:dyDescent="0.3">
      <c r="A43" s="27"/>
      <c r="B43" s="11" t="str">
        <f>CONCATENATE("          ", "6156", " - ", "EMPLOYEE MEALS")</f>
        <v xml:space="preserve">          6156 - EMPLOYEE MEALS</v>
      </c>
      <c r="C43" s="11"/>
      <c r="D43" s="6">
        <v>460.77</v>
      </c>
      <c r="E43" s="2"/>
      <c r="F43" s="7">
        <f t="shared" si="12"/>
        <v>4.5635673827259154E-4</v>
      </c>
      <c r="G43" s="2"/>
      <c r="H43" s="6">
        <v>1050</v>
      </c>
      <c r="I43" s="2"/>
      <c r="J43" s="7">
        <f t="shared" si="13"/>
        <v>4.7774939086952666E-4</v>
      </c>
      <c r="K43" s="2"/>
      <c r="L43" s="6">
        <f t="shared" si="14"/>
        <v>-589.23</v>
      </c>
      <c r="M43" s="2"/>
      <c r="N43" s="7">
        <f t="shared" si="15"/>
        <v>-0.56117142857142854</v>
      </c>
      <c r="O43" s="11"/>
      <c r="P43" s="6">
        <v>819.2</v>
      </c>
      <c r="Q43" s="2"/>
      <c r="R43" s="7">
        <f t="shared" si="16"/>
        <v>7.6433207071124106E-4</v>
      </c>
      <c r="S43" s="2"/>
      <c r="T43" s="6">
        <v>2100</v>
      </c>
      <c r="U43" s="2"/>
      <c r="V43" s="7">
        <f t="shared" si="17"/>
        <v>9.1969527429911554E-4</v>
      </c>
      <c r="W43" s="2"/>
      <c r="X43" s="6">
        <f t="shared" si="18"/>
        <v>-1280.8</v>
      </c>
      <c r="Y43" s="2"/>
      <c r="Z43" s="7">
        <f t="shared" si="19"/>
        <v>-0.60990476190476184</v>
      </c>
    </row>
    <row r="44" spans="1:26" s="28" customFormat="1" outlineLevel="1" collapsed="1" x14ac:dyDescent="0.3">
      <c r="A44" s="29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37759.429999999993</v>
      </c>
      <c r="E44" s="1"/>
      <c r="F44" s="5">
        <f t="shared" ref="F44:F54" si="20">IF(D$12=0,0,D44/D$12)</f>
        <v>3.7397769633075589E-2</v>
      </c>
      <c r="G44" s="1"/>
      <c r="H44" s="1">
        <f>SUM(OSRRefH22_1x_0)</f>
        <v>45435.283545253798</v>
      </c>
      <c r="I44" s="1"/>
      <c r="J44" s="5">
        <f t="shared" ref="J44:J54" si="21">IF(H$12=0,0,H44/H$12)</f>
        <v>2.0673027654980219E-2</v>
      </c>
      <c r="K44" s="1"/>
      <c r="L44" s="1">
        <f t="shared" ref="L44:L54" si="22">+D44-H44</f>
        <v>-7675.8535452538054</v>
      </c>
      <c r="M44" s="1"/>
      <c r="N44" s="5">
        <f t="shared" ref="N44:N54" si="23">IF(H44=0,0,L44/H44)</f>
        <v>-0.16894036850476815</v>
      </c>
      <c r="O44" s="14"/>
      <c r="P44" s="1">
        <f>SUM(OSRRefP22_1x_0)</f>
        <v>70181.180000000008</v>
      </c>
      <c r="Q44" s="1"/>
      <c r="R44" s="5">
        <f t="shared" ref="R44:R54" si="24">IF(P$12=0,0,P44/P$12)</f>
        <v>6.5480623332956955E-2</v>
      </c>
      <c r="S44" s="1"/>
      <c r="T44" s="1">
        <f>SUM(OSRRefT22_1x_0)</f>
        <v>80097.137976821105</v>
      </c>
      <c r="U44" s="1"/>
      <c r="V44" s="5">
        <f t="shared" ref="V44:V54" si="25">IF(T$12=0,0,T44/T$12)</f>
        <v>3.5078552039126951E-2</v>
      </c>
      <c r="W44" s="1"/>
      <c r="X44" s="1">
        <f t="shared" ref="X44:X54" si="26">+P44-T44</f>
        <v>-9915.957976821097</v>
      </c>
      <c r="Y44" s="1"/>
      <c r="Z44" s="5">
        <f t="shared" ref="Z44:Z54" si="27">IF(T44=0,0,X44/T44)</f>
        <v>-0.12379915471749596</v>
      </c>
    </row>
    <row r="45" spans="1:26" s="24" customFormat="1" hidden="1" outlineLevel="2" x14ac:dyDescent="0.3">
      <c r="A45" s="27"/>
      <c r="B45" s="11" t="str">
        <f>CONCATENATE("          ", "6001", " - ", "ADMINISTRATIVE SALARIES")</f>
        <v xml:space="preserve">          6001 - ADMINISTRATIVE SALARIES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"6002", " - ", "STAFF SALARIES")</f>
        <v xml:space="preserve">          6002 - STAFF SALARIES</v>
      </c>
      <c r="C46" s="11"/>
      <c r="D46" s="6">
        <v>17688.78</v>
      </c>
      <c r="E46" s="2"/>
      <c r="F46" s="7">
        <f t="shared" si="20"/>
        <v>1.7519356609200797E-2</v>
      </c>
      <c r="G46" s="2"/>
      <c r="H46" s="6">
        <v>17293.700777253802</v>
      </c>
      <c r="I46" s="2"/>
      <c r="J46" s="7">
        <f t="shared" si="21"/>
        <v>7.8686238211551074E-3</v>
      </c>
      <c r="K46" s="2"/>
      <c r="L46" s="6">
        <f t="shared" si="22"/>
        <v>395.07922274619705</v>
      </c>
      <c r="M46" s="2"/>
      <c r="N46" s="7">
        <f t="shared" si="23"/>
        <v>2.2845267640217298E-2</v>
      </c>
      <c r="O46" s="11"/>
      <c r="P46" s="6">
        <v>36750.01</v>
      </c>
      <c r="Q46" s="2"/>
      <c r="R46" s="7">
        <f t="shared" si="24"/>
        <v>3.4288587941844258E-2</v>
      </c>
      <c r="S46" s="2"/>
      <c r="T46" s="6">
        <v>38910.826748821099</v>
      </c>
      <c r="U46" s="2"/>
      <c r="V46" s="7">
        <f t="shared" si="25"/>
        <v>1.7041001657124945E-2</v>
      </c>
      <c r="W46" s="2"/>
      <c r="X46" s="6">
        <f t="shared" si="26"/>
        <v>-2160.8167488210966</v>
      </c>
      <c r="Y46" s="2"/>
      <c r="Z46" s="7">
        <f t="shared" si="27"/>
        <v>-5.5532532443211678E-2</v>
      </c>
    </row>
    <row r="47" spans="1:26" s="24" customFormat="1" hidden="1" outlineLevel="2" x14ac:dyDescent="0.3">
      <c r="A47" s="27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3">
      <c r="A48" s="27"/>
      <c r="B48" s="11" t="str">
        <f>CONCATENATE("          ", "6004", " - ", "STAFF HOURLY")</f>
        <v xml:space="preserve">          6004 - STAFF HOURLY</v>
      </c>
      <c r="C48" s="11"/>
      <c r="D48" s="6">
        <v>6640.82</v>
      </c>
      <c r="E48" s="2"/>
      <c r="F48" s="7">
        <f t="shared" si="20"/>
        <v>6.5772141299463753E-3</v>
      </c>
      <c r="G48" s="2"/>
      <c r="H48" s="6">
        <v>5928.5827680000002</v>
      </c>
      <c r="I48" s="2"/>
      <c r="J48" s="7">
        <f t="shared" si="21"/>
        <v>2.6975017201253068E-3</v>
      </c>
      <c r="K48" s="2"/>
      <c r="L48" s="6">
        <f t="shared" si="22"/>
        <v>712.23723199999949</v>
      </c>
      <c r="M48" s="2"/>
      <c r="N48" s="7">
        <f t="shared" si="23"/>
        <v>0.12013617079689887</v>
      </c>
      <c r="O48" s="11"/>
      <c r="P48" s="6">
        <v>12824.87</v>
      </c>
      <c r="Q48" s="2"/>
      <c r="R48" s="7">
        <f t="shared" si="24"/>
        <v>1.1965892875613372E-2</v>
      </c>
      <c r="S48" s="2"/>
      <c r="T48" s="6">
        <v>13339.311228</v>
      </c>
      <c r="U48" s="2"/>
      <c r="V48" s="7">
        <f t="shared" si="25"/>
        <v>5.8419530946651104E-3</v>
      </c>
      <c r="W48" s="2"/>
      <c r="X48" s="6">
        <f t="shared" si="26"/>
        <v>-514.44122799999968</v>
      </c>
      <c r="Y48" s="2"/>
      <c r="Z48" s="7">
        <f t="shared" si="27"/>
        <v>-3.8565801427599744E-2</v>
      </c>
    </row>
    <row r="49" spans="1:26" s="24" customFormat="1" hidden="1" outlineLevel="2" x14ac:dyDescent="0.3">
      <c r="A49" s="27"/>
      <c r="B49" s="11" t="str">
        <f>CONCATENATE("          ", "6005", " - ", "TEMPORARY WAGES-HOURLY")</f>
        <v xml:space="preserve">          6005 - TEMPORARY WAGES-HOURLY</v>
      </c>
      <c r="C49" s="11"/>
      <c r="D49" s="6">
        <v>3203.48</v>
      </c>
      <c r="E49" s="2"/>
      <c r="F49" s="7">
        <f t="shared" si="20"/>
        <v>3.1727970222051815E-3</v>
      </c>
      <c r="G49" s="2"/>
      <c r="H49" s="6">
        <v>4181</v>
      </c>
      <c r="I49" s="2"/>
      <c r="J49" s="7">
        <f t="shared" si="21"/>
        <v>1.9023525745004675E-3</v>
      </c>
      <c r="K49" s="2"/>
      <c r="L49" s="6">
        <f t="shared" si="22"/>
        <v>-977.52</v>
      </c>
      <c r="M49" s="2"/>
      <c r="N49" s="7">
        <f t="shared" si="23"/>
        <v>-0.23380052618990671</v>
      </c>
      <c r="O49" s="11"/>
      <c r="P49" s="6">
        <v>7081.27</v>
      </c>
      <c r="Q49" s="2"/>
      <c r="R49" s="7">
        <f t="shared" si="24"/>
        <v>6.6069845731999395E-3</v>
      </c>
      <c r="S49" s="2"/>
      <c r="T49" s="6">
        <v>8191</v>
      </c>
      <c r="U49" s="2"/>
      <c r="V49" s="7">
        <f t="shared" si="25"/>
        <v>3.5872495198971694E-3</v>
      </c>
      <c r="W49" s="2"/>
      <c r="X49" s="6">
        <f t="shared" si="26"/>
        <v>-1109.7299999999996</v>
      </c>
      <c r="Y49" s="2"/>
      <c r="Z49" s="7">
        <f t="shared" si="27"/>
        <v>-0.13548162617507015</v>
      </c>
    </row>
    <row r="50" spans="1:26" s="24" customFormat="1" hidden="1" outlineLevel="2" x14ac:dyDescent="0.3">
      <c r="A50" s="27"/>
      <c r="B50" s="11" t="str">
        <f>CONCATENATE("          ", "6006", " - ", "TEMPORARY PART TIME")</f>
        <v xml:space="preserve">          6006 - TEMPORARY PART TIME</v>
      </c>
      <c r="C50" s="11"/>
      <c r="D50" s="6"/>
      <c r="E50" s="2"/>
      <c r="F50" s="7">
        <f t="shared" si="20"/>
        <v>0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0</v>
      </c>
      <c r="M50" s="2"/>
      <c r="N50" s="7">
        <f t="shared" si="23"/>
        <v>0</v>
      </c>
      <c r="O50" s="11"/>
      <c r="P50" s="6"/>
      <c r="Q50" s="2"/>
      <c r="R50" s="7">
        <f t="shared" si="24"/>
        <v>0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0</v>
      </c>
      <c r="Y50" s="2"/>
      <c r="Z50" s="7">
        <f t="shared" si="27"/>
        <v>0</v>
      </c>
    </row>
    <row r="51" spans="1:26" s="24" customFormat="1" hidden="1" outlineLevel="2" x14ac:dyDescent="0.3">
      <c r="A51" s="27"/>
      <c r="B51" s="11" t="str">
        <f>CONCATENATE("          ", "6007", " - ", "STUDENT HOURLY")</f>
        <v xml:space="preserve">          6007 - STUDENT HOURLY</v>
      </c>
      <c r="C51" s="11"/>
      <c r="D51" s="6">
        <v>8687.33</v>
      </c>
      <c r="E51" s="2"/>
      <c r="F51" s="7">
        <f t="shared" si="20"/>
        <v>8.6041226275530795E-3</v>
      </c>
      <c r="G51" s="2"/>
      <c r="H51" s="6">
        <v>11760</v>
      </c>
      <c r="I51" s="2"/>
      <c r="J51" s="7">
        <f t="shared" si="21"/>
        <v>5.3507931777386983E-3</v>
      </c>
      <c r="K51" s="2"/>
      <c r="L51" s="6">
        <f t="shared" si="22"/>
        <v>-3072.67</v>
      </c>
      <c r="M51" s="2"/>
      <c r="N51" s="7">
        <f t="shared" si="23"/>
        <v>-0.26128146258503404</v>
      </c>
      <c r="O51" s="11"/>
      <c r="P51" s="6">
        <v>11986.01</v>
      </c>
      <c r="Q51" s="2"/>
      <c r="R51" s="7">
        <f t="shared" si="24"/>
        <v>1.1183217581623099E-2</v>
      </c>
      <c r="S51" s="2"/>
      <c r="T51" s="6">
        <v>13384</v>
      </c>
      <c r="U51" s="2"/>
      <c r="V51" s="7">
        <f t="shared" si="25"/>
        <v>5.8615245481996965E-3</v>
      </c>
      <c r="W51" s="2"/>
      <c r="X51" s="6">
        <f t="shared" si="26"/>
        <v>-1397.9899999999998</v>
      </c>
      <c r="Y51" s="2"/>
      <c r="Z51" s="7">
        <f t="shared" si="27"/>
        <v>-0.10445233114166166</v>
      </c>
    </row>
    <row r="52" spans="1:26" s="24" customFormat="1" hidden="1" outlineLevel="2" x14ac:dyDescent="0.3">
      <c r="A52" s="27"/>
      <c r="B52" s="11" t="str">
        <f>CONCATENATE("          ", "6008", " - ", "STUDENT HOURLY-FICA EXEMPT")</f>
        <v xml:space="preserve">          6008 - STUDENT HOURLY-FICA EXEMPT</v>
      </c>
      <c r="C52" s="11"/>
      <c r="D52" s="6">
        <v>1539.02</v>
      </c>
      <c r="E52" s="2"/>
      <c r="F52" s="7">
        <f t="shared" si="20"/>
        <v>1.5242792441701582E-3</v>
      </c>
      <c r="G52" s="2"/>
      <c r="H52" s="6">
        <v>6272</v>
      </c>
      <c r="I52" s="2"/>
      <c r="J52" s="7">
        <f t="shared" si="21"/>
        <v>2.853756361460639E-3</v>
      </c>
      <c r="K52" s="2"/>
      <c r="L52" s="6">
        <f t="shared" si="22"/>
        <v>-4732.9799999999996</v>
      </c>
      <c r="M52" s="2"/>
      <c r="N52" s="7">
        <f t="shared" si="23"/>
        <v>-0.75462053571428567</v>
      </c>
      <c r="O52" s="11"/>
      <c r="P52" s="6">
        <v>1539.02</v>
      </c>
      <c r="Q52" s="2"/>
      <c r="R52" s="7">
        <f t="shared" si="24"/>
        <v>1.4359403606762869E-3</v>
      </c>
      <c r="S52" s="2"/>
      <c r="T52" s="6">
        <v>6272</v>
      </c>
      <c r="U52" s="2"/>
      <c r="V52" s="7">
        <f t="shared" si="25"/>
        <v>2.7468232192400252E-3</v>
      </c>
      <c r="W52" s="2"/>
      <c r="X52" s="6">
        <f t="shared" si="26"/>
        <v>-4732.9799999999996</v>
      </c>
      <c r="Y52" s="2"/>
      <c r="Z52" s="7">
        <f t="shared" si="27"/>
        <v>-0.75462053571428567</v>
      </c>
    </row>
    <row r="53" spans="1:26" s="24" customFormat="1" hidden="1" outlineLevel="2" x14ac:dyDescent="0.3">
      <c r="A53" s="27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3">
      <c r="A54" s="27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8" customFormat="1" outlineLevel="1" collapsed="1" x14ac:dyDescent="0.3">
      <c r="A55" s="29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84.14</v>
      </c>
      <c r="E55" s="1"/>
      <c r="F55" s="5">
        <f t="shared" ref="F55:F70" si="28">IF(D$12=0,0,D55/D$12)</f>
        <v>8.3334105862482041E-5</v>
      </c>
      <c r="G55" s="1"/>
      <c r="H55" s="1">
        <f>SUM(OSRRefH22_2x_0)</f>
        <v>400</v>
      </c>
      <c r="I55" s="1"/>
      <c r="J55" s="5">
        <f t="shared" ref="J55:J70" si="29">IF(H$12=0,0,H55/H$12)</f>
        <v>1.8199976795029587E-4</v>
      </c>
      <c r="K55" s="1"/>
      <c r="L55" s="1">
        <f t="shared" ref="L55:L70" si="30">+D55-H55</f>
        <v>-315.86</v>
      </c>
      <c r="M55" s="1"/>
      <c r="N55" s="5">
        <f t="shared" ref="N55:N70" si="31">IF(H55=0,0,L55/H55)</f>
        <v>-0.78965000000000007</v>
      </c>
      <c r="O55" s="14"/>
      <c r="P55" s="1">
        <f>SUM(OSRRefP22_2x_0)</f>
        <v>84.14</v>
      </c>
      <c r="Q55" s="1"/>
      <c r="R55" s="5">
        <f t="shared" ref="R55:R70" si="32">IF(P$12=0,0,P55/P$12)</f>
        <v>7.8504517126030059E-5</v>
      </c>
      <c r="S55" s="1"/>
      <c r="T55" s="1">
        <f>SUM(OSRRefT22_2x_0)</f>
        <v>1800</v>
      </c>
      <c r="U55" s="1"/>
      <c r="V55" s="5">
        <f t="shared" ref="V55:V70" si="33">IF(T$12=0,0,T55/T$12)</f>
        <v>7.8831023511352757E-4</v>
      </c>
      <c r="W55" s="1"/>
      <c r="X55" s="1">
        <f t="shared" ref="X55:X70" si="34">+P55-T55</f>
        <v>-1715.86</v>
      </c>
      <c r="Y55" s="1"/>
      <c r="Z55" s="5">
        <f t="shared" ref="Z55:Z70" si="35">IF(T55=0,0,X55/T55)</f>
        <v>-0.95325555555555552</v>
      </c>
    </row>
    <row r="56" spans="1:26" s="24" customFormat="1" hidden="1" outlineLevel="2" x14ac:dyDescent="0.3">
      <c r="A56" s="27"/>
      <c r="B56" s="11" t="str">
        <f>CONCATENATE("          ", "6362", " - ", "ADVERTISING EXPENSE")</f>
        <v xml:space="preserve">          6362 - ADVERTISING EXPENSE</v>
      </c>
      <c r="C56" s="11"/>
      <c r="D56" s="6">
        <v>84.14</v>
      </c>
      <c r="E56" s="2"/>
      <c r="F56" s="7">
        <f t="shared" si="28"/>
        <v>8.3334105862482041E-5</v>
      </c>
      <c r="G56" s="2"/>
      <c r="H56" s="6">
        <v>400</v>
      </c>
      <c r="I56" s="2"/>
      <c r="J56" s="7">
        <f t="shared" si="29"/>
        <v>1.8199976795029587E-4</v>
      </c>
      <c r="K56" s="2"/>
      <c r="L56" s="6">
        <f t="shared" si="30"/>
        <v>-315.86</v>
      </c>
      <c r="M56" s="2"/>
      <c r="N56" s="7">
        <f t="shared" si="31"/>
        <v>-0.78965000000000007</v>
      </c>
      <c r="O56" s="11"/>
      <c r="P56" s="6">
        <v>84.14</v>
      </c>
      <c r="Q56" s="2"/>
      <c r="R56" s="7">
        <f t="shared" si="32"/>
        <v>7.8504517126030059E-5</v>
      </c>
      <c r="S56" s="2"/>
      <c r="T56" s="6">
        <v>1800</v>
      </c>
      <c r="U56" s="2"/>
      <c r="V56" s="7">
        <f t="shared" si="33"/>
        <v>7.8831023511352757E-4</v>
      </c>
      <c r="W56" s="2"/>
      <c r="X56" s="6">
        <f t="shared" si="34"/>
        <v>-1715.86</v>
      </c>
      <c r="Y56" s="2"/>
      <c r="Z56" s="7">
        <f t="shared" si="35"/>
        <v>-0.95325555555555552</v>
      </c>
    </row>
    <row r="57" spans="1:26" s="28" customFormat="1" outlineLevel="1" collapsed="1" x14ac:dyDescent="0.3">
      <c r="A57" s="29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SUM(OSRRefD22_3x_0)</f>
        <v>0</v>
      </c>
      <c r="E57" s="1"/>
      <c r="F57" s="5">
        <f t="shared" si="28"/>
        <v>0</v>
      </c>
      <c r="G57" s="1"/>
      <c r="H57" s="1">
        <f>SUM(OSRRefH22_3x_0)</f>
        <v>50</v>
      </c>
      <c r="I57" s="1"/>
      <c r="J57" s="5">
        <f t="shared" si="29"/>
        <v>2.2749970993786984E-5</v>
      </c>
      <c r="K57" s="1"/>
      <c r="L57" s="1">
        <f t="shared" si="30"/>
        <v>-50</v>
      </c>
      <c r="M57" s="1"/>
      <c r="N57" s="5">
        <f t="shared" si="31"/>
        <v>-1</v>
      </c>
      <c r="O57" s="14"/>
      <c r="P57" s="1">
        <f>SUM(OSRRefP22_3x_0)</f>
        <v>0</v>
      </c>
      <c r="Q57" s="1"/>
      <c r="R57" s="5">
        <f t="shared" si="32"/>
        <v>0</v>
      </c>
      <c r="S57" s="1"/>
      <c r="T57" s="1">
        <f>SUM(OSRRefT22_3x_0)</f>
        <v>100</v>
      </c>
      <c r="U57" s="1"/>
      <c r="V57" s="5">
        <f t="shared" si="33"/>
        <v>4.3795013061862644E-5</v>
      </c>
      <c r="W57" s="1"/>
      <c r="X57" s="1">
        <f t="shared" si="34"/>
        <v>-100</v>
      </c>
      <c r="Y57" s="1"/>
      <c r="Z57" s="5">
        <f t="shared" si="35"/>
        <v>-1</v>
      </c>
    </row>
    <row r="58" spans="1:26" s="24" customFormat="1" hidden="1" outlineLevel="2" x14ac:dyDescent="0.3">
      <c r="A58" s="27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28"/>
        <v>0</v>
      </c>
      <c r="G58" s="2"/>
      <c r="H58" s="6">
        <v>50</v>
      </c>
      <c r="I58" s="2"/>
      <c r="J58" s="7">
        <f t="shared" si="29"/>
        <v>2.2749970993786984E-5</v>
      </c>
      <c r="K58" s="2"/>
      <c r="L58" s="6">
        <f t="shared" si="30"/>
        <v>-50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100</v>
      </c>
      <c r="U58" s="2"/>
      <c r="V58" s="7">
        <f t="shared" si="33"/>
        <v>4.3795013061862644E-5</v>
      </c>
      <c r="W58" s="2"/>
      <c r="X58" s="6">
        <f t="shared" si="34"/>
        <v>-100</v>
      </c>
      <c r="Y58" s="2"/>
      <c r="Z58" s="7">
        <f t="shared" si="35"/>
        <v>-1</v>
      </c>
    </row>
    <row r="59" spans="1:26" s="28" customFormat="1" outlineLevel="1" collapsed="1" x14ac:dyDescent="0.3">
      <c r="A59" s="29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SUM(OSRRefD22_4x_0)</f>
        <v>91.26</v>
      </c>
      <c r="E59" s="1"/>
      <c r="F59" s="5">
        <f t="shared" si="28"/>
        <v>9.0385910399454618E-5</v>
      </c>
      <c r="G59" s="1"/>
      <c r="H59" s="1">
        <f>SUM(OSRRefH22_4x_0)</f>
        <v>100</v>
      </c>
      <c r="I59" s="1"/>
      <c r="J59" s="5">
        <f t="shared" si="29"/>
        <v>4.5499941987573968E-5</v>
      </c>
      <c r="K59" s="1"/>
      <c r="L59" s="1">
        <f t="shared" si="30"/>
        <v>-8.7399999999999949</v>
      </c>
      <c r="M59" s="1"/>
      <c r="N59" s="5">
        <f t="shared" si="31"/>
        <v>-8.739999999999995E-2</v>
      </c>
      <c r="O59" s="14"/>
      <c r="P59" s="1">
        <f>SUM(OSRRefP22_4x_0)</f>
        <v>182.52</v>
      </c>
      <c r="Q59" s="1"/>
      <c r="R59" s="5">
        <f t="shared" si="32"/>
        <v>1.7029527532497036E-4</v>
      </c>
      <c r="S59" s="1"/>
      <c r="T59" s="1">
        <f>SUM(OSRRefT22_4x_0)</f>
        <v>200</v>
      </c>
      <c r="U59" s="1"/>
      <c r="V59" s="5">
        <f t="shared" si="33"/>
        <v>8.7590026123725287E-5</v>
      </c>
      <c r="W59" s="1"/>
      <c r="X59" s="1">
        <f t="shared" si="34"/>
        <v>-17.47999999999999</v>
      </c>
      <c r="Y59" s="1"/>
      <c r="Z59" s="5">
        <f t="shared" si="35"/>
        <v>-8.739999999999995E-2</v>
      </c>
    </row>
    <row r="60" spans="1:26" s="24" customFormat="1" hidden="1" outlineLevel="2" x14ac:dyDescent="0.3">
      <c r="A60" s="27"/>
      <c r="B60" s="11" t="str">
        <f>CONCATENATE("          ", "6351", " - ", "EQUIPMENT RENTAL")</f>
        <v xml:space="preserve">          6351 - EQUIPMENT RENTAL</v>
      </c>
      <c r="C60" s="11"/>
      <c r="D60" s="6">
        <v>91.26</v>
      </c>
      <c r="E60" s="2"/>
      <c r="F60" s="7">
        <f t="shared" si="28"/>
        <v>9.0385910399454618E-5</v>
      </c>
      <c r="G60" s="2"/>
      <c r="H60" s="6">
        <v>100</v>
      </c>
      <c r="I60" s="2"/>
      <c r="J60" s="7">
        <f t="shared" si="29"/>
        <v>4.5499941987573968E-5</v>
      </c>
      <c r="K60" s="2"/>
      <c r="L60" s="6">
        <f t="shared" si="30"/>
        <v>-8.7399999999999949</v>
      </c>
      <c r="M60" s="2"/>
      <c r="N60" s="7">
        <f t="shared" si="31"/>
        <v>-8.739999999999995E-2</v>
      </c>
      <c r="O60" s="11"/>
      <c r="P60" s="6">
        <v>182.52</v>
      </c>
      <c r="Q60" s="2"/>
      <c r="R60" s="7">
        <f t="shared" si="32"/>
        <v>1.7029527532497036E-4</v>
      </c>
      <c r="S60" s="2"/>
      <c r="T60" s="6">
        <v>200</v>
      </c>
      <c r="U60" s="2"/>
      <c r="V60" s="7">
        <f t="shared" si="33"/>
        <v>8.7590026123725287E-5</v>
      </c>
      <c r="W60" s="2"/>
      <c r="X60" s="6">
        <f t="shared" si="34"/>
        <v>-17.47999999999999</v>
      </c>
      <c r="Y60" s="2"/>
      <c r="Z60" s="7">
        <f t="shared" si="35"/>
        <v>-8.739999999999995E-2</v>
      </c>
    </row>
    <row r="61" spans="1:26" s="28" customFormat="1" outlineLevel="1" collapsed="1" x14ac:dyDescent="0.3">
      <c r="A61" s="29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163.30000000000001</v>
      </c>
      <c r="E61" s="1"/>
      <c r="F61" s="5">
        <f t="shared" si="28"/>
        <v>1.6173591023702541E-4</v>
      </c>
      <c r="G61" s="1"/>
      <c r="H61" s="1">
        <f>SUM(OSRRefH22_5x_0)</f>
        <v>500</v>
      </c>
      <c r="I61" s="1"/>
      <c r="J61" s="5">
        <f t="shared" si="29"/>
        <v>2.2749970993786984E-4</v>
      </c>
      <c r="K61" s="1"/>
      <c r="L61" s="1">
        <f t="shared" si="30"/>
        <v>-336.7</v>
      </c>
      <c r="M61" s="1"/>
      <c r="N61" s="5">
        <f t="shared" si="31"/>
        <v>-0.6734</v>
      </c>
      <c r="O61" s="14"/>
      <c r="P61" s="1">
        <f>SUM(OSRRefP22_5x_0)</f>
        <v>295.97000000000003</v>
      </c>
      <c r="Q61" s="1"/>
      <c r="R61" s="5">
        <f t="shared" si="32"/>
        <v>2.7614668331104252E-4</v>
      </c>
      <c r="S61" s="1"/>
      <c r="T61" s="1">
        <f>SUM(OSRRefT22_5x_0)</f>
        <v>800</v>
      </c>
      <c r="U61" s="1"/>
      <c r="V61" s="5">
        <f t="shared" si="33"/>
        <v>3.5036010449490115E-4</v>
      </c>
      <c r="W61" s="1"/>
      <c r="X61" s="1">
        <f t="shared" si="34"/>
        <v>-504.03</v>
      </c>
      <c r="Y61" s="1"/>
      <c r="Z61" s="5">
        <f t="shared" si="35"/>
        <v>-0.63003749999999992</v>
      </c>
    </row>
    <row r="62" spans="1:26" s="24" customFormat="1" hidden="1" outlineLevel="2" x14ac:dyDescent="0.3">
      <c r="A62" s="27"/>
      <c r="B62" s="11" t="str">
        <f>CONCATENATE("          ", "6305", " - ", "FREIGHT OUT")</f>
        <v xml:space="preserve">          6305 - FREIGHT OUT</v>
      </c>
      <c r="C62" s="11"/>
      <c r="D62" s="6">
        <v>163.30000000000001</v>
      </c>
      <c r="E62" s="2"/>
      <c r="F62" s="7">
        <f t="shared" si="28"/>
        <v>1.6173591023702541E-4</v>
      </c>
      <c r="G62" s="2"/>
      <c r="H62" s="6">
        <v>500</v>
      </c>
      <c r="I62" s="2"/>
      <c r="J62" s="7">
        <f t="shared" si="29"/>
        <v>2.2749970993786984E-4</v>
      </c>
      <c r="K62" s="2"/>
      <c r="L62" s="6">
        <f t="shared" si="30"/>
        <v>-336.7</v>
      </c>
      <c r="M62" s="2"/>
      <c r="N62" s="7">
        <f t="shared" si="31"/>
        <v>-0.6734</v>
      </c>
      <c r="O62" s="11"/>
      <c r="P62" s="6">
        <v>295.97000000000003</v>
      </c>
      <c r="Q62" s="2"/>
      <c r="R62" s="7">
        <f t="shared" si="32"/>
        <v>2.7614668331104252E-4</v>
      </c>
      <c r="S62" s="2"/>
      <c r="T62" s="6">
        <v>800</v>
      </c>
      <c r="U62" s="2"/>
      <c r="V62" s="7">
        <f t="shared" si="33"/>
        <v>3.5036010449490115E-4</v>
      </c>
      <c r="W62" s="2"/>
      <c r="X62" s="6">
        <f t="shared" si="34"/>
        <v>-504.03</v>
      </c>
      <c r="Y62" s="2"/>
      <c r="Z62" s="7">
        <f t="shared" si="35"/>
        <v>-0.63003749999999992</v>
      </c>
    </row>
    <row r="63" spans="1:26" s="28" customFormat="1" outlineLevel="1" collapsed="1" x14ac:dyDescent="0.3">
      <c r="A63" s="29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125</v>
      </c>
      <c r="I63" s="1"/>
      <c r="J63" s="5">
        <f t="shared" si="29"/>
        <v>5.6874927484467461E-5</v>
      </c>
      <c r="K63" s="1"/>
      <c r="L63" s="1">
        <f t="shared" si="30"/>
        <v>-125</v>
      </c>
      <c r="M63" s="1"/>
      <c r="N63" s="5">
        <f t="shared" si="31"/>
        <v>-1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125</v>
      </c>
      <c r="U63" s="1"/>
      <c r="V63" s="5">
        <f t="shared" si="33"/>
        <v>5.474376632732831E-5</v>
      </c>
      <c r="W63" s="1"/>
      <c r="X63" s="1">
        <f t="shared" si="34"/>
        <v>-125</v>
      </c>
      <c r="Y63" s="1"/>
      <c r="Z63" s="5">
        <f t="shared" si="35"/>
        <v>-1</v>
      </c>
    </row>
    <row r="64" spans="1:26" s="24" customFormat="1" hidden="1" outlineLevel="2" x14ac:dyDescent="0.3">
      <c r="A64" s="27"/>
      <c r="B64" s="11" t="str">
        <f>CONCATENATE("          ", "6279", " - ", "GENERAL EXPENSE")</f>
        <v xml:space="preserve">          6279 - GENERAL EXPENSE</v>
      </c>
      <c r="C64" s="11"/>
      <c r="D64" s="6"/>
      <c r="E64" s="2"/>
      <c r="F64" s="7">
        <f t="shared" si="28"/>
        <v>0</v>
      </c>
      <c r="G64" s="2"/>
      <c r="H64" s="6">
        <v>125</v>
      </c>
      <c r="I64" s="2"/>
      <c r="J64" s="7">
        <f t="shared" si="29"/>
        <v>5.6874927484467461E-5</v>
      </c>
      <c r="K64" s="2"/>
      <c r="L64" s="6">
        <f t="shared" si="30"/>
        <v>-125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125</v>
      </c>
      <c r="U64" s="2"/>
      <c r="V64" s="7">
        <f t="shared" si="33"/>
        <v>5.474376632732831E-5</v>
      </c>
      <c r="W64" s="2"/>
      <c r="X64" s="6">
        <f t="shared" si="34"/>
        <v>-125</v>
      </c>
      <c r="Y64" s="2"/>
      <c r="Z64" s="7">
        <f t="shared" si="35"/>
        <v>-1</v>
      </c>
    </row>
    <row r="65" spans="1:26" s="28" customFormat="1" outlineLevel="1" collapsed="1" x14ac:dyDescent="0.3">
      <c r="A65" s="29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1000</v>
      </c>
      <c r="E65" s="1"/>
      <c r="F65" s="5">
        <f t="shared" si="28"/>
        <v>9.9042198552985565E-4</v>
      </c>
      <c r="G65" s="1"/>
      <c r="H65" s="1">
        <f>SUM(OSRRefH22_7x_0)</f>
        <v>1000</v>
      </c>
      <c r="I65" s="1"/>
      <c r="J65" s="5">
        <f t="shared" si="29"/>
        <v>4.5499941987573968E-4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2000</v>
      </c>
      <c r="Q65" s="1"/>
      <c r="R65" s="5">
        <f t="shared" si="32"/>
        <v>1.8660450945098658E-3</v>
      </c>
      <c r="S65" s="1"/>
      <c r="T65" s="1">
        <f>SUM(OSRRefT22_7x_0)</f>
        <v>2000</v>
      </c>
      <c r="U65" s="1"/>
      <c r="V65" s="5">
        <f t="shared" si="33"/>
        <v>8.7590026123725295E-4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3">
      <c r="A66" s="27"/>
      <c r="B66" s="11" t="str">
        <f>CONCATENATE("          ", "6408", " - ", "INVENTORY ADJUSTMENT")</f>
        <v xml:space="preserve">          6408 - INVENTORY ADJUSTMENT</v>
      </c>
      <c r="C66" s="11"/>
      <c r="D66" s="6">
        <v>1000</v>
      </c>
      <c r="E66" s="2"/>
      <c r="F66" s="7">
        <f t="shared" si="28"/>
        <v>9.9042198552985565E-4</v>
      </c>
      <c r="G66" s="2"/>
      <c r="H66" s="6">
        <v>1000</v>
      </c>
      <c r="I66" s="2"/>
      <c r="J66" s="7">
        <f t="shared" si="29"/>
        <v>4.5499941987573968E-4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2000</v>
      </c>
      <c r="Q66" s="2"/>
      <c r="R66" s="7">
        <f t="shared" si="32"/>
        <v>1.8660450945098658E-3</v>
      </c>
      <c r="S66" s="2"/>
      <c r="T66" s="6">
        <v>2000</v>
      </c>
      <c r="U66" s="2"/>
      <c r="V66" s="7">
        <f t="shared" si="33"/>
        <v>8.7590026123725295E-4</v>
      </c>
      <c r="W66" s="2"/>
      <c r="X66" s="6">
        <f t="shared" si="34"/>
        <v>0</v>
      </c>
      <c r="Y66" s="2"/>
      <c r="Z66" s="7">
        <f t="shared" si="35"/>
        <v>0</v>
      </c>
    </row>
    <row r="67" spans="1:26" s="28" customFormat="1" outlineLevel="1" collapsed="1" x14ac:dyDescent="0.3">
      <c r="A67" s="29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SUM(OSRRefD22_8x_0)</f>
        <v>0</v>
      </c>
      <c r="E67" s="1"/>
      <c r="F67" s="5">
        <f t="shared" si="28"/>
        <v>0</v>
      </c>
      <c r="G67" s="1"/>
      <c r="H67" s="1">
        <f>SUM(OSRRefH22_8x_0)</f>
        <v>80</v>
      </c>
      <c r="I67" s="1"/>
      <c r="J67" s="5">
        <f t="shared" si="29"/>
        <v>3.6399953590059172E-5</v>
      </c>
      <c r="K67" s="1"/>
      <c r="L67" s="1">
        <f t="shared" si="30"/>
        <v>-80</v>
      </c>
      <c r="M67" s="1"/>
      <c r="N67" s="5">
        <f t="shared" si="31"/>
        <v>-1</v>
      </c>
      <c r="O67" s="14"/>
      <c r="P67" s="1">
        <f>SUM(OSRRefP22_8x_0)</f>
        <v>2900.53</v>
      </c>
      <c r="Q67" s="1"/>
      <c r="R67" s="5">
        <f t="shared" si="32"/>
        <v>2.7062598889893508E-3</v>
      </c>
      <c r="S67" s="1"/>
      <c r="T67" s="1">
        <f>SUM(OSRRefT22_8x_0)</f>
        <v>160</v>
      </c>
      <c r="U67" s="1"/>
      <c r="V67" s="5">
        <f t="shared" si="33"/>
        <v>7.0072020898980235E-5</v>
      </c>
      <c r="W67" s="1"/>
      <c r="X67" s="1">
        <f t="shared" si="34"/>
        <v>2740.53</v>
      </c>
      <c r="Y67" s="1"/>
      <c r="Z67" s="5">
        <f t="shared" si="35"/>
        <v>17.1283125</v>
      </c>
    </row>
    <row r="68" spans="1:26" s="24" customFormat="1" hidden="1" outlineLevel="2" x14ac:dyDescent="0.3">
      <c r="A68" s="27"/>
      <c r="B68" s="11" t="str">
        <f>CONCATENATE("          ", "6371", " - ", "COMPUTER SOFTWARE MAINTENANCE")</f>
        <v xml:space="preserve">          6371 - COMPUTER SOFTWARE MAINTENANCE</v>
      </c>
      <c r="C68" s="11"/>
      <c r="D68" s="6">
        <v>0</v>
      </c>
      <c r="E68" s="2"/>
      <c r="F68" s="7">
        <f t="shared" si="28"/>
        <v>0</v>
      </c>
      <c r="G68" s="2"/>
      <c r="H68" s="6"/>
      <c r="I68" s="2"/>
      <c r="J68" s="7">
        <f t="shared" si="29"/>
        <v>0</v>
      </c>
      <c r="K68" s="2"/>
      <c r="L68" s="6">
        <f t="shared" si="30"/>
        <v>0</v>
      </c>
      <c r="M68" s="2"/>
      <c r="N68" s="7">
        <f t="shared" si="31"/>
        <v>0</v>
      </c>
      <c r="O68" s="11"/>
      <c r="P68" s="6">
        <v>2887.5</v>
      </c>
      <c r="Q68" s="2"/>
      <c r="R68" s="7">
        <f t="shared" si="32"/>
        <v>2.694102605198619E-3</v>
      </c>
      <c r="S68" s="2"/>
      <c r="T68" s="6"/>
      <c r="U68" s="2"/>
      <c r="V68" s="7">
        <f t="shared" si="33"/>
        <v>0</v>
      </c>
      <c r="W68" s="2"/>
      <c r="X68" s="6">
        <f t="shared" si="34"/>
        <v>2887.5</v>
      </c>
      <c r="Y68" s="2"/>
      <c r="Z68" s="7">
        <f t="shared" si="35"/>
        <v>0</v>
      </c>
    </row>
    <row r="69" spans="1:26" s="24" customFormat="1" hidden="1" outlineLevel="2" x14ac:dyDescent="0.3">
      <c r="A69" s="27"/>
      <c r="B69" s="11" t="str">
        <f>CONCATENATE("          ", "6373", " - ", "MAINTENANCE CONTRACTS")</f>
        <v xml:space="preserve">          6373 - MAINTENANCE CONTRACTS</v>
      </c>
      <c r="C69" s="11"/>
      <c r="D69" s="6"/>
      <c r="E69" s="2"/>
      <c r="F69" s="7">
        <f t="shared" si="28"/>
        <v>0</v>
      </c>
      <c r="G69" s="2"/>
      <c r="H69" s="6">
        <v>40</v>
      </c>
      <c r="I69" s="2"/>
      <c r="J69" s="7">
        <f t="shared" si="29"/>
        <v>1.8199976795029586E-5</v>
      </c>
      <c r="K69" s="2"/>
      <c r="L69" s="6">
        <f t="shared" si="30"/>
        <v>-40</v>
      </c>
      <c r="M69" s="2"/>
      <c r="N69" s="7">
        <f t="shared" si="31"/>
        <v>-1</v>
      </c>
      <c r="O69" s="11"/>
      <c r="P69" s="6">
        <v>13.03</v>
      </c>
      <c r="Q69" s="2"/>
      <c r="R69" s="7">
        <f t="shared" si="32"/>
        <v>1.2157283790731775E-5</v>
      </c>
      <c r="S69" s="2"/>
      <c r="T69" s="6">
        <v>80</v>
      </c>
      <c r="U69" s="2"/>
      <c r="V69" s="7">
        <f t="shared" si="33"/>
        <v>3.5036010449490118E-5</v>
      </c>
      <c r="W69" s="2"/>
      <c r="X69" s="6">
        <f t="shared" si="34"/>
        <v>-66.97</v>
      </c>
      <c r="Y69" s="2"/>
      <c r="Z69" s="7">
        <f t="shared" si="35"/>
        <v>-0.83712500000000001</v>
      </c>
    </row>
    <row r="70" spans="1:26" s="24" customFormat="1" hidden="1" outlineLevel="2" x14ac:dyDescent="0.3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6"/>
      <c r="E70" s="2"/>
      <c r="F70" s="7">
        <f t="shared" si="28"/>
        <v>0</v>
      </c>
      <c r="G70" s="2"/>
      <c r="H70" s="6">
        <v>40</v>
      </c>
      <c r="I70" s="2"/>
      <c r="J70" s="7">
        <f t="shared" si="29"/>
        <v>1.8199976795029586E-5</v>
      </c>
      <c r="K70" s="2"/>
      <c r="L70" s="6">
        <f t="shared" si="30"/>
        <v>-40</v>
      </c>
      <c r="M70" s="2"/>
      <c r="N70" s="7">
        <f t="shared" si="31"/>
        <v>-1</v>
      </c>
      <c r="O70" s="11"/>
      <c r="P70" s="6"/>
      <c r="Q70" s="2"/>
      <c r="R70" s="7">
        <f t="shared" si="32"/>
        <v>0</v>
      </c>
      <c r="S70" s="2"/>
      <c r="T70" s="6">
        <v>80</v>
      </c>
      <c r="U70" s="2"/>
      <c r="V70" s="7">
        <f t="shared" si="33"/>
        <v>3.5036010449490118E-5</v>
      </c>
      <c r="W70" s="2"/>
      <c r="X70" s="6">
        <f t="shared" si="34"/>
        <v>-80</v>
      </c>
      <c r="Y70" s="2"/>
      <c r="Z70" s="7">
        <f t="shared" si="35"/>
        <v>-1</v>
      </c>
    </row>
    <row r="71" spans="1:26" s="28" customFormat="1" outlineLevel="1" collapsed="1" x14ac:dyDescent="0.3">
      <c r="A71" s="29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SUM(OSRRefD22_9x_0)</f>
        <v>57</v>
      </c>
      <c r="E71" s="1"/>
      <c r="F71" s="5">
        <f t="shared" ref="F71:F75" si="36">IF(D$12=0,0,D71/D$12)</f>
        <v>5.6454053175201769E-5</v>
      </c>
      <c r="G71" s="1"/>
      <c r="H71" s="1">
        <f>SUM(OSRRefH22_9x_0)</f>
        <v>300</v>
      </c>
      <c r="I71" s="1"/>
      <c r="J71" s="5">
        <f t="shared" ref="J71:J75" si="37">IF(H$12=0,0,H71/H$12)</f>
        <v>1.3649982596272191E-4</v>
      </c>
      <c r="K71" s="1"/>
      <c r="L71" s="1">
        <f t="shared" ref="L71:L75" si="38">+D71-H71</f>
        <v>-243</v>
      </c>
      <c r="M71" s="1"/>
      <c r="N71" s="5">
        <f t="shared" ref="N71:N75" si="39">IF(H71=0,0,L71/H71)</f>
        <v>-0.81</v>
      </c>
      <c r="O71" s="14"/>
      <c r="P71" s="1">
        <f>SUM(OSRRefP22_9x_0)</f>
        <v>125.32</v>
      </c>
      <c r="Q71" s="1"/>
      <c r="R71" s="5">
        <f t="shared" ref="R71:R75" si="40">IF(P$12=0,0,P71/P$12)</f>
        <v>1.1692638562198818E-4</v>
      </c>
      <c r="S71" s="1"/>
      <c r="T71" s="1">
        <f>SUM(OSRRefT22_9x_0)</f>
        <v>600</v>
      </c>
      <c r="U71" s="1"/>
      <c r="V71" s="5">
        <f t="shared" ref="V71:V75" si="41">IF(T$12=0,0,T71/T$12)</f>
        <v>2.6277007837117588E-4</v>
      </c>
      <c r="W71" s="1"/>
      <c r="X71" s="1">
        <f t="shared" ref="X71:X75" si="42">+P71-T71</f>
        <v>-474.68</v>
      </c>
      <c r="Y71" s="1"/>
      <c r="Z71" s="5">
        <f t="shared" ref="Z71:Z75" si="43">IF(T71=0,0,X71/T71)</f>
        <v>-0.79113333333333336</v>
      </c>
    </row>
    <row r="72" spans="1:26" s="24" customFormat="1" hidden="1" outlineLevel="2" x14ac:dyDescent="0.3">
      <c r="A72" s="27"/>
      <c r="B72" s="11" t="str">
        <f>CONCATENATE("          ", "6258", " - ", "MEMBERSHIP DUES")</f>
        <v xml:space="preserve">          6258 - MEMBERSHIP DUES</v>
      </c>
      <c r="C72" s="11"/>
      <c r="D72" s="6">
        <v>57</v>
      </c>
      <c r="E72" s="2"/>
      <c r="F72" s="7">
        <f t="shared" si="36"/>
        <v>5.6454053175201769E-5</v>
      </c>
      <c r="G72" s="2"/>
      <c r="H72" s="6">
        <v>300</v>
      </c>
      <c r="I72" s="2"/>
      <c r="J72" s="7">
        <f t="shared" si="37"/>
        <v>1.3649982596272191E-4</v>
      </c>
      <c r="K72" s="2"/>
      <c r="L72" s="6">
        <f t="shared" si="38"/>
        <v>-243</v>
      </c>
      <c r="M72" s="2"/>
      <c r="N72" s="7">
        <f t="shared" si="39"/>
        <v>-0.81</v>
      </c>
      <c r="O72" s="11"/>
      <c r="P72" s="6">
        <v>125.32</v>
      </c>
      <c r="Q72" s="2"/>
      <c r="R72" s="7">
        <f t="shared" si="40"/>
        <v>1.1692638562198818E-4</v>
      </c>
      <c r="S72" s="2"/>
      <c r="T72" s="6">
        <v>600</v>
      </c>
      <c r="U72" s="2"/>
      <c r="V72" s="7">
        <f t="shared" si="41"/>
        <v>2.6277007837117588E-4</v>
      </c>
      <c r="W72" s="2"/>
      <c r="X72" s="6">
        <f t="shared" si="42"/>
        <v>-474.68</v>
      </c>
      <c r="Y72" s="2"/>
      <c r="Z72" s="7">
        <f t="shared" si="43"/>
        <v>-0.79113333333333336</v>
      </c>
    </row>
    <row r="73" spans="1:26" s="28" customFormat="1" outlineLevel="1" collapsed="1" x14ac:dyDescent="0.3">
      <c r="A73" s="29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SUM(OSRRefD22_10x_0)</f>
        <v>485.61</v>
      </c>
      <c r="E73" s="1"/>
      <c r="F73" s="5">
        <f t="shared" si="36"/>
        <v>4.8095882039315318E-4</v>
      </c>
      <c r="G73" s="1"/>
      <c r="H73" s="1">
        <f>SUM(OSRRefH22_10x_0)</f>
        <v>1000</v>
      </c>
      <c r="I73" s="1"/>
      <c r="J73" s="5">
        <f t="shared" si="37"/>
        <v>4.5499941987573968E-4</v>
      </c>
      <c r="K73" s="1"/>
      <c r="L73" s="1">
        <f t="shared" si="38"/>
        <v>-514.39</v>
      </c>
      <c r="M73" s="1"/>
      <c r="N73" s="5">
        <f t="shared" si="39"/>
        <v>-0.51439000000000001</v>
      </c>
      <c r="O73" s="14"/>
      <c r="P73" s="1">
        <f>SUM(OSRRefP22_10x_0)</f>
        <v>601.35</v>
      </c>
      <c r="Q73" s="1"/>
      <c r="R73" s="5">
        <f t="shared" si="40"/>
        <v>5.6107310879175397E-4</v>
      </c>
      <c r="S73" s="1"/>
      <c r="T73" s="1">
        <f>SUM(OSRRefT22_10x_0)</f>
        <v>1700</v>
      </c>
      <c r="U73" s="1"/>
      <c r="V73" s="5">
        <f t="shared" si="41"/>
        <v>7.4451522205166499E-4</v>
      </c>
      <c r="W73" s="1"/>
      <c r="X73" s="1">
        <f t="shared" si="42"/>
        <v>-1098.6500000000001</v>
      </c>
      <c r="Y73" s="1"/>
      <c r="Z73" s="5">
        <f t="shared" si="43"/>
        <v>-0.64626470588235296</v>
      </c>
    </row>
    <row r="74" spans="1:26" s="24" customFormat="1" hidden="1" outlineLevel="2" x14ac:dyDescent="0.3">
      <c r="A74" s="27"/>
      <c r="B74" s="11" t="str">
        <f>CONCATENATE("          ", "6241", " - ", "OFFICE EXPENSE")</f>
        <v xml:space="preserve">          6241 - OFFICE EXPENSE</v>
      </c>
      <c r="C74" s="11"/>
      <c r="D74" s="6">
        <v>485.61</v>
      </c>
      <c r="E74" s="2"/>
      <c r="F74" s="7">
        <f t="shared" si="36"/>
        <v>4.8095882039315318E-4</v>
      </c>
      <c r="G74" s="2"/>
      <c r="H74" s="6">
        <v>600</v>
      </c>
      <c r="I74" s="2"/>
      <c r="J74" s="7">
        <f t="shared" si="37"/>
        <v>2.7299965192544381E-4</v>
      </c>
      <c r="K74" s="2"/>
      <c r="L74" s="6">
        <f t="shared" si="38"/>
        <v>-114.38999999999999</v>
      </c>
      <c r="M74" s="2"/>
      <c r="N74" s="7">
        <f t="shared" si="39"/>
        <v>-0.19064999999999999</v>
      </c>
      <c r="O74" s="11"/>
      <c r="P74" s="6">
        <v>601.35</v>
      </c>
      <c r="Q74" s="2"/>
      <c r="R74" s="7">
        <f t="shared" si="40"/>
        <v>5.6107310879175397E-4</v>
      </c>
      <c r="S74" s="2"/>
      <c r="T74" s="6">
        <v>900</v>
      </c>
      <c r="U74" s="2"/>
      <c r="V74" s="7">
        <f t="shared" si="41"/>
        <v>3.9415511755676379E-4</v>
      </c>
      <c r="W74" s="2"/>
      <c r="X74" s="6">
        <f t="shared" si="42"/>
        <v>-298.64999999999998</v>
      </c>
      <c r="Y74" s="2"/>
      <c r="Z74" s="7">
        <f t="shared" si="43"/>
        <v>-0.33183333333333331</v>
      </c>
    </row>
    <row r="75" spans="1:26" s="24" customFormat="1" hidden="1" outlineLevel="2" x14ac:dyDescent="0.3">
      <c r="A75" s="27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36"/>
        <v>0</v>
      </c>
      <c r="G75" s="2"/>
      <c r="H75" s="6">
        <v>400</v>
      </c>
      <c r="I75" s="2"/>
      <c r="J75" s="7">
        <f t="shared" si="37"/>
        <v>1.8199976795029587E-4</v>
      </c>
      <c r="K75" s="2"/>
      <c r="L75" s="6">
        <f t="shared" si="38"/>
        <v>-400</v>
      </c>
      <c r="M75" s="2"/>
      <c r="N75" s="7">
        <f t="shared" si="39"/>
        <v>-1</v>
      </c>
      <c r="O75" s="11"/>
      <c r="P75" s="6"/>
      <c r="Q75" s="2"/>
      <c r="R75" s="7">
        <f t="shared" si="40"/>
        <v>0</v>
      </c>
      <c r="S75" s="2"/>
      <c r="T75" s="6">
        <v>800</v>
      </c>
      <c r="U75" s="2"/>
      <c r="V75" s="7">
        <f t="shared" si="41"/>
        <v>3.5036010449490115E-4</v>
      </c>
      <c r="W75" s="2"/>
      <c r="X75" s="6">
        <f t="shared" si="42"/>
        <v>-800</v>
      </c>
      <c r="Y75" s="2"/>
      <c r="Z75" s="7">
        <f t="shared" si="43"/>
        <v>-1</v>
      </c>
    </row>
    <row r="76" spans="1:26" s="28" customFormat="1" outlineLevel="1" collapsed="1" x14ac:dyDescent="0.3">
      <c r="A76" s="29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SUM(OSRRefD22_11x_0)</f>
        <v>820.9</v>
      </c>
      <c r="E76" s="1"/>
      <c r="F76" s="5">
        <f t="shared" ref="F76:F78" si="44">IF(D$12=0,0,D76/D$12)</f>
        <v>8.130374079214584E-4</v>
      </c>
      <c r="G76" s="1"/>
      <c r="H76" s="1">
        <f>SUM(OSRRefH22_11x_0)</f>
        <v>600</v>
      </c>
      <c r="I76" s="1"/>
      <c r="J76" s="5">
        <f t="shared" ref="J76:J78" si="45">IF(H$12=0,0,H76/H$12)</f>
        <v>2.7299965192544381E-4</v>
      </c>
      <c r="K76" s="1"/>
      <c r="L76" s="1">
        <f t="shared" ref="L76:L78" si="46">+D76-H76</f>
        <v>220.89999999999998</v>
      </c>
      <c r="M76" s="1"/>
      <c r="N76" s="5">
        <f t="shared" ref="N76:N78" si="47">IF(H76=0,0,L76/H76)</f>
        <v>0.36816666666666664</v>
      </c>
      <c r="O76" s="14"/>
      <c r="P76" s="1">
        <f>SUM(OSRRefP22_11x_0)</f>
        <v>1428.3</v>
      </c>
      <c r="Q76" s="1"/>
      <c r="R76" s="5">
        <f t="shared" ref="R76:R78" si="48">IF(P$12=0,0,P76/P$12)</f>
        <v>1.3326361042442206E-3</v>
      </c>
      <c r="S76" s="1"/>
      <c r="T76" s="1">
        <f>SUM(OSRRefT22_11x_0)</f>
        <v>950</v>
      </c>
      <c r="U76" s="1"/>
      <c r="V76" s="5">
        <f t="shared" ref="V76:V78" si="49">IF(T$12=0,0,T76/T$12)</f>
        <v>4.1605262408769513E-4</v>
      </c>
      <c r="W76" s="1"/>
      <c r="X76" s="1">
        <f t="shared" ref="X76:X78" si="50">+P76-T76</f>
        <v>478.29999999999995</v>
      </c>
      <c r="Y76" s="1"/>
      <c r="Z76" s="5">
        <f t="shared" ref="Z76:Z78" si="51">IF(T76=0,0,X76/T76)</f>
        <v>0.5034736842105263</v>
      </c>
    </row>
    <row r="77" spans="1:26" s="24" customFormat="1" hidden="1" outlineLevel="2" x14ac:dyDescent="0.3">
      <c r="A77" s="27"/>
      <c r="B77" s="11" t="str">
        <f>CONCATENATE("          ", "6303", " - ", "DATA PHONE LINES")</f>
        <v xml:space="preserve">          6303 - DATA PHONE LINES</v>
      </c>
      <c r="C77" s="11"/>
      <c r="D77" s="6"/>
      <c r="E77" s="2"/>
      <c r="F77" s="7">
        <f t="shared" si="44"/>
        <v>0</v>
      </c>
      <c r="G77" s="2"/>
      <c r="H77" s="6">
        <v>0</v>
      </c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>
        <v>295</v>
      </c>
      <c r="Q77" s="2"/>
      <c r="R77" s="7">
        <f t="shared" si="48"/>
        <v>2.7524165144020524E-4</v>
      </c>
      <c r="S77" s="2"/>
      <c r="T77" s="6">
        <v>0</v>
      </c>
      <c r="U77" s="2"/>
      <c r="V77" s="7">
        <f t="shared" si="49"/>
        <v>0</v>
      </c>
      <c r="W77" s="2"/>
      <c r="X77" s="6">
        <f t="shared" si="50"/>
        <v>295</v>
      </c>
      <c r="Y77" s="2"/>
      <c r="Z77" s="7">
        <f t="shared" si="51"/>
        <v>0</v>
      </c>
    </row>
    <row r="78" spans="1:26" s="24" customFormat="1" hidden="1" outlineLevel="2" x14ac:dyDescent="0.3">
      <c r="A78" s="27"/>
      <c r="B78" s="11" t="str">
        <f>CONCATENATE("          ", "6309", " - ", "TELEPHONE")</f>
        <v xml:space="preserve">          6309 - TELEPHONE</v>
      </c>
      <c r="C78" s="11"/>
      <c r="D78" s="6">
        <v>820.9</v>
      </c>
      <c r="E78" s="2"/>
      <c r="F78" s="7">
        <f t="shared" si="44"/>
        <v>8.130374079214584E-4</v>
      </c>
      <c r="G78" s="2"/>
      <c r="H78" s="6">
        <v>600</v>
      </c>
      <c r="I78" s="2"/>
      <c r="J78" s="7">
        <f t="shared" si="45"/>
        <v>2.7299965192544381E-4</v>
      </c>
      <c r="K78" s="2"/>
      <c r="L78" s="6">
        <f t="shared" si="46"/>
        <v>220.89999999999998</v>
      </c>
      <c r="M78" s="2"/>
      <c r="N78" s="7">
        <f t="shared" si="47"/>
        <v>0.36816666666666664</v>
      </c>
      <c r="O78" s="11"/>
      <c r="P78" s="6">
        <v>1133.3</v>
      </c>
      <c r="Q78" s="2"/>
      <c r="R78" s="7">
        <f t="shared" si="48"/>
        <v>1.0573944528040155E-3</v>
      </c>
      <c r="S78" s="2"/>
      <c r="T78" s="6">
        <v>950</v>
      </c>
      <c r="U78" s="2"/>
      <c r="V78" s="7">
        <f t="shared" si="49"/>
        <v>4.1605262408769513E-4</v>
      </c>
      <c r="W78" s="2"/>
      <c r="X78" s="6">
        <f t="shared" si="50"/>
        <v>183.29999999999995</v>
      </c>
      <c r="Y78" s="2"/>
      <c r="Z78" s="7">
        <f t="shared" si="51"/>
        <v>0.19294736842105259</v>
      </c>
    </row>
    <row r="79" spans="1:26" s="53" customFormat="1" x14ac:dyDescent="0.3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3">
      <c r="A80" s="10"/>
      <c r="B80" s="25" t="s">
        <v>293</v>
      </c>
      <c r="C80" s="10"/>
      <c r="D80" s="4">
        <f>SUM(OSRRefD25x_0)</f>
        <v>28343.090000000004</v>
      </c>
      <c r="E80" s="4"/>
      <c r="F80" s="12">
        <f t="shared" ref="F80:F84" si="52">IF(D$12=0,0,D80/D$12)</f>
        <v>2.8071619473851398E-2</v>
      </c>
      <c r="G80" s="4"/>
      <c r="H80" s="4">
        <f>SUM(OSRRefH25x_0)</f>
        <v>2184</v>
      </c>
      <c r="I80" s="4"/>
      <c r="J80" s="12">
        <f t="shared" ref="J80:J84" si="53">IF(H$12=0,0,H80/H$12)</f>
        <v>9.9371873300861538E-4</v>
      </c>
      <c r="K80" s="4"/>
      <c r="L80" s="4">
        <f t="shared" ref="L80:L84" si="54">+D80-H80</f>
        <v>26159.090000000004</v>
      </c>
      <c r="M80" s="4"/>
      <c r="N80" s="12">
        <f t="shared" ref="N80:N84" si="55">IF(H80=0,0,L80/H80)</f>
        <v>11.977605311355314</v>
      </c>
      <c r="O80" s="10"/>
      <c r="P80" s="4">
        <f>SUM(OSRRefP25x_0)</f>
        <v>28975.03</v>
      </c>
      <c r="Q80" s="4"/>
      <c r="R80" s="12">
        <f t="shared" ref="R80:R84" si="56">IF(P$12=0,0,P80/P$12)</f>
        <v>2.7034356297388099E-2</v>
      </c>
      <c r="S80" s="4"/>
      <c r="T80" s="4">
        <f>SUM(OSRRefT25x_0)</f>
        <v>4560</v>
      </c>
      <c r="U80" s="4"/>
      <c r="V80" s="12">
        <f t="shared" ref="V80:V84" si="57">IF(T$12=0,0,T80/T$12)</f>
        <v>1.9970525956209367E-3</v>
      </c>
      <c r="W80" s="4"/>
      <c r="X80" s="4">
        <f t="shared" ref="X80:X84" si="58">+P80-T80</f>
        <v>24415.03</v>
      </c>
      <c r="Y80" s="4"/>
      <c r="Z80" s="12">
        <f t="shared" ref="Z80:Z84" si="59">IF(T80=0,0,X80/T80)</f>
        <v>5.3541732456140352</v>
      </c>
    </row>
    <row r="81" spans="1:26" s="24" customFormat="1" hidden="1" outlineLevel="1" x14ac:dyDescent="0.3">
      <c r="A81" s="44"/>
      <c r="B81" s="11" t="str">
        <f>CONCATENATE("          ", "9150", " - ", "MISC. INCOME")</f>
        <v xml:space="preserve">          9150 - MISC. INCOME</v>
      </c>
      <c r="C81" s="11"/>
      <c r="D81" s="2">
        <f>--15850.62</f>
        <v>15850.62</v>
      </c>
      <c r="E81" s="2"/>
      <c r="F81" s="19">
        <f t="shared" si="52"/>
        <v>1.5698802532279239E-2</v>
      </c>
      <c r="G81" s="2"/>
      <c r="H81" s="2">
        <v>2184</v>
      </c>
      <c r="I81" s="2"/>
      <c r="J81" s="19">
        <f t="shared" si="53"/>
        <v>9.9371873300861538E-4</v>
      </c>
      <c r="K81" s="2"/>
      <c r="L81" s="2">
        <f t="shared" si="54"/>
        <v>13666.62</v>
      </c>
      <c r="M81" s="2"/>
      <c r="N81" s="19">
        <f t="shared" si="55"/>
        <v>6.2576098901098902</v>
      </c>
      <c r="O81" s="11"/>
      <c r="P81" s="2">
        <f>--16415.64</f>
        <v>16415.64</v>
      </c>
      <c r="Q81" s="2"/>
      <c r="R81" s="19">
        <f t="shared" si="56"/>
        <v>1.5316162247619967E-2</v>
      </c>
      <c r="S81" s="2"/>
      <c r="T81" s="2">
        <v>4560</v>
      </c>
      <c r="U81" s="2"/>
      <c r="V81" s="19">
        <f t="shared" si="57"/>
        <v>1.9970525956209367E-3</v>
      </c>
      <c r="W81" s="2"/>
      <c r="X81" s="2">
        <f t="shared" si="58"/>
        <v>11855.64</v>
      </c>
      <c r="Y81" s="2"/>
      <c r="Z81" s="19">
        <f t="shared" si="59"/>
        <v>2.5999210526315788</v>
      </c>
    </row>
    <row r="82" spans="1:26" s="24" customFormat="1" hidden="1" outlineLevel="1" x14ac:dyDescent="0.3">
      <c r="A82" s="44"/>
      <c r="B82" s="11" t="str">
        <f>CONCATENATE("          ", "9151", " - ", "MISC. INCOME")</f>
        <v xml:space="preserve">          9151 - MISC. INCOME</v>
      </c>
      <c r="C82" s="11"/>
      <c r="D82" s="2">
        <f>--11556.36</f>
        <v>11556.36</v>
      </c>
      <c r="E82" s="2"/>
      <c r="F82" s="19">
        <f t="shared" si="52"/>
        <v>1.1445673016697803E-2</v>
      </c>
      <c r="G82" s="2"/>
      <c r="H82" s="2"/>
      <c r="I82" s="2"/>
      <c r="J82" s="19">
        <f t="shared" si="53"/>
        <v>0</v>
      </c>
      <c r="K82" s="2"/>
      <c r="L82" s="2">
        <f t="shared" si="54"/>
        <v>11556.36</v>
      </c>
      <c r="M82" s="2"/>
      <c r="N82" s="19">
        <f t="shared" si="55"/>
        <v>0</v>
      </c>
      <c r="O82" s="11"/>
      <c r="P82" s="2">
        <f>--11556.36</f>
        <v>11556.36</v>
      </c>
      <c r="Q82" s="2"/>
      <c r="R82" s="19">
        <f t="shared" si="56"/>
        <v>1.0782344444195017E-2</v>
      </c>
      <c r="S82" s="2"/>
      <c r="T82" s="2"/>
      <c r="U82" s="2"/>
      <c r="V82" s="19">
        <f t="shared" si="57"/>
        <v>0</v>
      </c>
      <c r="W82" s="2"/>
      <c r="X82" s="2">
        <f t="shared" si="58"/>
        <v>11556.36</v>
      </c>
      <c r="Y82" s="2"/>
      <c r="Z82" s="19">
        <f t="shared" si="59"/>
        <v>0</v>
      </c>
    </row>
    <row r="83" spans="1:26" s="24" customFormat="1" hidden="1" outlineLevel="1" x14ac:dyDescent="0.3">
      <c r="A83" s="44"/>
      <c r="B83" s="11" t="str">
        <f>CONCATENATE("          ", "9152", " - ", "MISC. INCOME")</f>
        <v xml:space="preserve">          9152 - MISC. INCOME</v>
      </c>
      <c r="C83" s="11"/>
      <c r="D83" s="2">
        <f>--936.11</f>
        <v>936.11</v>
      </c>
      <c r="E83" s="2"/>
      <c r="F83" s="19">
        <f t="shared" si="52"/>
        <v>9.2714392487435306E-4</v>
      </c>
      <c r="G83" s="2"/>
      <c r="H83" s="2"/>
      <c r="I83" s="2"/>
      <c r="J83" s="19">
        <f t="shared" si="53"/>
        <v>0</v>
      </c>
      <c r="K83" s="2"/>
      <c r="L83" s="2">
        <f t="shared" si="54"/>
        <v>936.11</v>
      </c>
      <c r="M83" s="2"/>
      <c r="N83" s="19">
        <f t="shared" si="55"/>
        <v>0</v>
      </c>
      <c r="O83" s="11"/>
      <c r="P83" s="2">
        <f>--1003.03</f>
        <v>1003.03</v>
      </c>
      <c r="Q83" s="2"/>
      <c r="R83" s="19">
        <f t="shared" si="56"/>
        <v>9.3584960557311541E-4</v>
      </c>
      <c r="S83" s="2"/>
      <c r="T83" s="2"/>
      <c r="U83" s="2"/>
      <c r="V83" s="19">
        <f t="shared" si="57"/>
        <v>0</v>
      </c>
      <c r="W83" s="2"/>
      <c r="X83" s="2">
        <f t="shared" si="58"/>
        <v>1003.03</v>
      </c>
      <c r="Y83" s="2"/>
      <c r="Z83" s="19">
        <f t="shared" si="59"/>
        <v>0</v>
      </c>
    </row>
    <row r="84" spans="1:26" s="24" customFormat="1" hidden="1" outlineLevel="1" x14ac:dyDescent="0.3">
      <c r="A84" s="44"/>
      <c r="B84" s="11" t="str">
        <f>CONCATENATE("          ", "9160", " - ", "MISC. INCOME")</f>
        <v xml:space="preserve">          9160 - MISC. INCOME</v>
      </c>
      <c r="C84" s="11"/>
      <c r="D84" s="2">
        <f>0</f>
        <v>0</v>
      </c>
      <c r="E84" s="2"/>
      <c r="F84" s="19">
        <f t="shared" si="52"/>
        <v>0</v>
      </c>
      <c r="G84" s="2"/>
      <c r="H84" s="2">
        <v>0</v>
      </c>
      <c r="I84" s="2"/>
      <c r="J84" s="19">
        <f t="shared" si="53"/>
        <v>0</v>
      </c>
      <c r="K84" s="2"/>
      <c r="L84" s="2">
        <f t="shared" si="54"/>
        <v>0</v>
      </c>
      <c r="M84" s="2"/>
      <c r="N84" s="19">
        <f t="shared" si="55"/>
        <v>0</v>
      </c>
      <c r="O84" s="11"/>
      <c r="P84" s="2">
        <f>0</f>
        <v>0</v>
      </c>
      <c r="Q84" s="2"/>
      <c r="R84" s="19">
        <f t="shared" si="56"/>
        <v>0</v>
      </c>
      <c r="S84" s="2"/>
      <c r="T84" s="2">
        <v>0</v>
      </c>
      <c r="U84" s="2"/>
      <c r="V84" s="19">
        <f t="shared" si="57"/>
        <v>0</v>
      </c>
      <c r="W84" s="2"/>
      <c r="X84" s="2">
        <f t="shared" si="58"/>
        <v>0</v>
      </c>
      <c r="Y84" s="2"/>
      <c r="Z84" s="19">
        <f t="shared" si="59"/>
        <v>0</v>
      </c>
    </row>
    <row r="85" spans="1:26" x14ac:dyDescent="0.3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10"/>
      <c r="B86" s="26" t="s">
        <v>277</v>
      </c>
      <c r="C86" s="26"/>
      <c r="D86" s="21">
        <f>+D30-D32+D80</f>
        <v>182401.44000000003</v>
      </c>
      <c r="E86" s="13"/>
      <c r="F86" s="20">
        <f>IF(D$12=0,0,D86/D$12)</f>
        <v>0.18065439636830485</v>
      </c>
      <c r="G86" s="13"/>
      <c r="H86" s="21">
        <f>+H30-H32+H80</f>
        <v>545193.53746101027</v>
      </c>
      <c r="I86" s="13"/>
      <c r="J86" s="20">
        <f>IF(H$12=0,0,H86/H$12)</f>
        <v>0.24806274326476202</v>
      </c>
      <c r="K86" s="16"/>
      <c r="L86" s="21">
        <f>+D86-H86</f>
        <v>-362792.09746101021</v>
      </c>
      <c r="M86" s="16"/>
      <c r="N86" s="20">
        <f>IF(H86=0,0,L86/H86)</f>
        <v>-0.66543726682922288</v>
      </c>
      <c r="O86" s="25"/>
      <c r="P86" s="21">
        <f>+P30-P32+P80</f>
        <v>151305.71000000008</v>
      </c>
      <c r="Q86" s="13"/>
      <c r="R86" s="20">
        <f>IF(P$12=0,0,P86/P$12)</f>
        <v>0.14117163895841625</v>
      </c>
      <c r="S86" s="13"/>
      <c r="T86" s="21">
        <f>+T30-T32+T80</f>
        <v>516572.12389227306</v>
      </c>
      <c r="U86" s="13"/>
      <c r="V86" s="20">
        <f>IF(T$12=0,0,T86/T$12)</f>
        <v>0.22623282913256226</v>
      </c>
      <c r="W86" s="16"/>
      <c r="X86" s="21">
        <f>+P86-T86</f>
        <v>-365266.41389227298</v>
      </c>
      <c r="Y86" s="16"/>
      <c r="Z86" s="20">
        <f>IF(T86=0,0,X86/T86)</f>
        <v>-0.70709664149133677</v>
      </c>
    </row>
    <row r="87" spans="1:26" x14ac:dyDescent="0.3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52"/>
      <c r="B88" s="10" t="s">
        <v>128</v>
      </c>
      <c r="C88" s="10"/>
      <c r="D88" s="4">
        <v>131463.37</v>
      </c>
      <c r="E88" s="4"/>
      <c r="F88" s="12">
        <f>IF(D$12=0,0,D88/D$12)</f>
        <v>0.13020421193984605</v>
      </c>
      <c r="G88" s="4"/>
      <c r="H88" s="4">
        <v>224737</v>
      </c>
      <c r="I88" s="4"/>
      <c r="J88" s="12">
        <f>IF(H$12=0,0,H88/H$12)</f>
        <v>0.1022552046246141</v>
      </c>
      <c r="K88" s="4"/>
      <c r="L88" s="4">
        <f>+D88-H88</f>
        <v>-93273.63</v>
      </c>
      <c r="M88" s="4"/>
      <c r="N88" s="12">
        <f>IF(H88=0,0,L88/H88)</f>
        <v>-0.41503459599442905</v>
      </c>
      <c r="O88" s="10"/>
      <c r="P88" s="4">
        <v>160160.16</v>
      </c>
      <c r="Q88" s="4"/>
      <c r="R88" s="12">
        <f>IF(P$12=0,0,P88/P$12)</f>
        <v>0.14943304045195763</v>
      </c>
      <c r="S88" s="4"/>
      <c r="T88" s="4">
        <v>255722</v>
      </c>
      <c r="U88" s="4"/>
      <c r="V88" s="12">
        <f>IF(T$12=0,0,T88/T$12)</f>
        <v>0.1119934833020564</v>
      </c>
      <c r="W88" s="4"/>
      <c r="X88" s="4">
        <f>+P88-T88</f>
        <v>-95561.84</v>
      </c>
      <c r="Y88" s="4"/>
      <c r="Z88" s="12">
        <f>IF(T88=0,0,X88/T88)</f>
        <v>-0.37369424609536916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35">
      <c r="A90" s="10"/>
      <c r="B90" s="26" t="s">
        <v>126</v>
      </c>
      <c r="C90" s="26"/>
      <c r="D90" s="30">
        <f>+D86-D88</f>
        <v>50938.070000000036</v>
      </c>
      <c r="E90" s="13"/>
      <c r="F90" s="35">
        <f>IF(D$12=0,0,D90/D$12)</f>
        <v>5.0450184428458805E-2</v>
      </c>
      <c r="G90" s="13"/>
      <c r="H90" s="30">
        <f>+H86-H88</f>
        <v>320456.53746101027</v>
      </c>
      <c r="I90" s="13"/>
      <c r="J90" s="35">
        <f>IF(H$12=0,0,H90/H$12)</f>
        <v>0.14580753864014792</v>
      </c>
      <c r="K90" s="16"/>
      <c r="L90" s="30">
        <f>D90-H90</f>
        <v>-269518.46746101021</v>
      </c>
      <c r="M90" s="16"/>
      <c r="N90" s="35">
        <f>IF(H90=0,0,L90/H90)</f>
        <v>-0.84104530865999994</v>
      </c>
      <c r="O90" s="25"/>
      <c r="P90" s="30">
        <f>+P86-P88</f>
        <v>-8854.4499999999243</v>
      </c>
      <c r="Q90" s="13"/>
      <c r="R90" s="35">
        <f>IF(P$12=0,0,P90/P$12)</f>
        <v>-8.2614014935413708E-3</v>
      </c>
      <c r="S90" s="13"/>
      <c r="T90" s="30">
        <f>+T86-T88</f>
        <v>260850.12389227306</v>
      </c>
      <c r="U90" s="13"/>
      <c r="V90" s="35">
        <f>IF(T$12=0,0,T90/T$12)</f>
        <v>0.11423934583050588</v>
      </c>
      <c r="W90" s="16"/>
      <c r="X90" s="30">
        <f>P90-T90</f>
        <v>-269704.57389227301</v>
      </c>
      <c r="Y90" s="16"/>
      <c r="Z90" s="35">
        <f>IF(T90=0,0,X90/T90)</f>
        <v>-1.0339445880564608</v>
      </c>
    </row>
    <row r="91" spans="1:26" ht="15" thickTop="1" x14ac:dyDescent="0.3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294</v>
      </c>
      <c r="C93" s="26"/>
      <c r="D93" s="32">
        <f>SUM(D90:D92)</f>
        <v>50938.070000000036</v>
      </c>
      <c r="E93" s="13"/>
      <c r="F93" s="34">
        <f>IF(D$12=0,0,D93/D$12)</f>
        <v>5.0450184428458805E-2</v>
      </c>
      <c r="G93" s="13"/>
      <c r="H93" s="32">
        <f>SUM(H90:H92)</f>
        <v>320456.53746101027</v>
      </c>
      <c r="I93" s="13"/>
      <c r="J93" s="34">
        <f>IF(H$12=0,0,H93/H$12)</f>
        <v>0.14580753864014792</v>
      </c>
      <c r="K93" s="16"/>
      <c r="L93" s="32">
        <f>+D93-H93</f>
        <v>-269518.46746101021</v>
      </c>
      <c r="M93" s="16"/>
      <c r="N93" s="34">
        <f>IF(H93=0,0,L93/H93)</f>
        <v>-0.84104530865999994</v>
      </c>
      <c r="O93" s="25"/>
      <c r="P93" s="32">
        <f>SUM(P90:P92)</f>
        <v>-8854.4499999999243</v>
      </c>
      <c r="Q93" s="13"/>
      <c r="R93" s="34">
        <f>IF(P$12=0,0,P93/P$12)</f>
        <v>-8.2614014935413708E-3</v>
      </c>
      <c r="S93" s="13"/>
      <c r="T93" s="32">
        <f>SUM(T90:T92)</f>
        <v>260850.12389227306</v>
      </c>
      <c r="U93" s="13"/>
      <c r="V93" s="34">
        <f>IF(T$12=0,0,T93/T$12)</f>
        <v>0.11423934583050588</v>
      </c>
      <c r="W93" s="16"/>
      <c r="X93" s="32">
        <f>+P93-T93</f>
        <v>-269704.57389227301</v>
      </c>
      <c r="Y93" s="16"/>
      <c r="Z93" s="34">
        <f>IF(T93=0,0,X93/T93)</f>
        <v>-1.0339445880564608</v>
      </c>
    </row>
    <row r="94" spans="1:26" ht="15" thickTop="1" x14ac:dyDescent="0.3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A95" s="9"/>
      <c r="B95" s="61">
        <v>44470.835443900462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A96" s="9"/>
      <c r="B96" s="58" t="s">
        <v>56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55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","311", " - ", "Textbooks")</f>
        <v>Department 311 - Textbooks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740429.29999999993</v>
      </c>
      <c r="E12" s="4"/>
      <c r="F12" s="12"/>
      <c r="G12" s="4"/>
      <c r="H12" s="4">
        <f>SUM(OSRRefH13x_0)</f>
        <v>1394734</v>
      </c>
      <c r="I12" s="4"/>
      <c r="J12" s="12"/>
      <c r="K12" s="4"/>
      <c r="L12" s="4">
        <f t="shared" ref="L12:L16" si="0">+D12-H12</f>
        <v>-654304.70000000007</v>
      </c>
      <c r="M12" s="4"/>
      <c r="N12" s="12">
        <f t="shared" ref="N12:N16" si="1">IF(H12=0,0,L12/H12)</f>
        <v>-0.46912508048129614</v>
      </c>
      <c r="O12" s="10"/>
      <c r="P12" s="4">
        <f>SUM(OSRRefP13x_0)</f>
        <v>796630.89999999991</v>
      </c>
      <c r="Q12" s="4"/>
      <c r="R12" s="12"/>
      <c r="S12" s="4"/>
      <c r="T12" s="4">
        <f>SUM(OSRRefT13x_0)</f>
        <v>1466067</v>
      </c>
      <c r="U12" s="4"/>
      <c r="V12" s="12"/>
      <c r="W12" s="4"/>
      <c r="X12" s="4">
        <f t="shared" ref="X12:X16" si="2">+P12-T12</f>
        <v>-669436.10000000009</v>
      </c>
      <c r="Y12" s="4"/>
      <c r="Z12" s="12">
        <f t="shared" ref="Z12:Z16" si="3">IF(T12=0,0,X12/T12)</f>
        <v>-0.4566204000226457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--571304.22</f>
        <v>571304.22</v>
      </c>
      <c r="E13" s="2"/>
      <c r="F13" s="19"/>
      <c r="G13" s="2"/>
      <c r="H13" s="2">
        <v>1394734</v>
      </c>
      <c r="I13" s="2"/>
      <c r="J13" s="19"/>
      <c r="K13" s="2"/>
      <c r="L13" s="2">
        <f t="shared" si="0"/>
        <v>-823429.78</v>
      </c>
      <c r="M13" s="2"/>
      <c r="N13" s="19">
        <f t="shared" si="1"/>
        <v>-0.59038481889736683</v>
      </c>
      <c r="O13" s="11"/>
      <c r="P13" s="2">
        <f>--602229.08</f>
        <v>602229.07999999996</v>
      </c>
      <c r="Q13" s="2"/>
      <c r="R13" s="19"/>
      <c r="S13" s="2"/>
      <c r="T13" s="2">
        <v>1466067</v>
      </c>
      <c r="U13" s="2"/>
      <c r="V13" s="19"/>
      <c r="W13" s="2"/>
      <c r="X13" s="2">
        <f t="shared" si="2"/>
        <v>-863837.92</v>
      </c>
      <c r="Y13" s="2"/>
      <c r="Z13" s="19">
        <f t="shared" si="3"/>
        <v>-0.5892213111679071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--196803.19</f>
        <v>196803.19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196803.19</v>
      </c>
      <c r="M14" s="2"/>
      <c r="N14" s="19">
        <f t="shared" si="1"/>
        <v>0</v>
      </c>
      <c r="O14" s="11"/>
      <c r="P14" s="2">
        <f>--223983.32</f>
        <v>223983.32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223983.32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-11488.38</f>
        <v>-11488.38</v>
      </c>
      <c r="E15" s="2"/>
      <c r="F15" s="19"/>
      <c r="G15" s="2"/>
      <c r="H15" s="2"/>
      <c r="I15" s="2"/>
      <c r="J15" s="19"/>
      <c r="K15" s="2"/>
      <c r="L15" s="2">
        <f t="shared" si="0"/>
        <v>-11488.38</v>
      </c>
      <c r="M15" s="2"/>
      <c r="N15" s="19">
        <f t="shared" si="1"/>
        <v>0</v>
      </c>
      <c r="O15" s="11"/>
      <c r="P15" s="2">
        <f>-12409.04</f>
        <v>-12409.04</v>
      </c>
      <c r="Q15" s="2"/>
      <c r="R15" s="19"/>
      <c r="S15" s="2"/>
      <c r="T15" s="2"/>
      <c r="U15" s="2"/>
      <c r="V15" s="19"/>
      <c r="W15" s="2"/>
      <c r="X15" s="2">
        <f t="shared" si="2"/>
        <v>-12409.04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-16189.73</f>
        <v>-16189.73</v>
      </c>
      <c r="E16" s="2"/>
      <c r="F16" s="19"/>
      <c r="G16" s="2"/>
      <c r="H16" s="2"/>
      <c r="I16" s="2"/>
      <c r="J16" s="19"/>
      <c r="K16" s="2"/>
      <c r="L16" s="2">
        <f t="shared" si="0"/>
        <v>-16189.73</v>
      </c>
      <c r="M16" s="2"/>
      <c r="N16" s="19">
        <f t="shared" si="1"/>
        <v>0</v>
      </c>
      <c r="O16" s="11"/>
      <c r="P16" s="2">
        <f>-17172.46</f>
        <v>-17172.46</v>
      </c>
      <c r="Q16" s="2"/>
      <c r="R16" s="19"/>
      <c r="S16" s="2"/>
      <c r="T16" s="2"/>
      <c r="U16" s="2"/>
      <c r="V16" s="19"/>
      <c r="W16" s="2"/>
      <c r="X16" s="2">
        <f t="shared" si="2"/>
        <v>-17172.46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599500.85</v>
      </c>
      <c r="E18" s="4"/>
      <c r="F18" s="12">
        <f t="shared" ref="F18:F28" si="4">IF(D$12=0,0,D18/D$12)</f>
        <v>0.80966656776008195</v>
      </c>
      <c r="G18" s="4"/>
      <c r="H18" s="4">
        <f>SUM(OSRRefH16x_0)</f>
        <v>1007695</v>
      </c>
      <c r="I18" s="4"/>
      <c r="J18" s="12">
        <f t="shared" ref="J18:J28" si="5">IF(H$12=0,0,H18/H$12)</f>
        <v>0.72249977415048316</v>
      </c>
      <c r="K18" s="4"/>
      <c r="L18" s="4">
        <f t="shared" ref="L18:L28" si="6">+D18-H18</f>
        <v>-408194.15</v>
      </c>
      <c r="M18" s="4"/>
      <c r="N18" s="12">
        <f t="shared" ref="N18:N28" si="7">IF(H18=0,0,L18/H18)</f>
        <v>-0.40507708185512487</v>
      </c>
      <c r="O18" s="10"/>
      <c r="P18" s="4">
        <f>SUM(OSRRefP16x_0)</f>
        <v>642192.56999999983</v>
      </c>
      <c r="Q18" s="4"/>
      <c r="R18" s="12">
        <f t="shared" ref="R18:R28" si="8">IF(P$12=0,0,P18/P$12)</f>
        <v>0.80613565203157433</v>
      </c>
      <c r="S18" s="4"/>
      <c r="T18" s="4">
        <f>SUM(OSRRefT16x_0)</f>
        <v>1059233</v>
      </c>
      <c r="U18" s="4"/>
      <c r="V18" s="12">
        <f t="shared" ref="V18:V28" si="9">IF(T$12=0,0,T18/T$12)</f>
        <v>0.72249972204544544</v>
      </c>
      <c r="W18" s="4"/>
      <c r="X18" s="4">
        <f t="shared" ref="X18:X28" si="10">+P18-T18</f>
        <v>-417040.43000000017</v>
      </c>
      <c r="Y18" s="4"/>
      <c r="Z18" s="12">
        <f t="shared" ref="Z18:Z28" si="11">IF(T18=0,0,X18/T18)</f>
        <v>-0.39371925723613233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219833.04</v>
      </c>
      <c r="E19" s="2"/>
      <c r="F19" s="19">
        <f t="shared" si="4"/>
        <v>0.29689943388247875</v>
      </c>
      <c r="G19" s="2"/>
      <c r="H19" s="2">
        <v>1007695</v>
      </c>
      <c r="I19" s="2"/>
      <c r="J19" s="19">
        <f t="shared" si="5"/>
        <v>0.72249977415048316</v>
      </c>
      <c r="K19" s="2"/>
      <c r="L19" s="2">
        <f t="shared" si="6"/>
        <v>-787861.96</v>
      </c>
      <c r="M19" s="2"/>
      <c r="N19" s="19">
        <f t="shared" si="7"/>
        <v>-0.78184565766427339</v>
      </c>
      <c r="O19" s="11"/>
      <c r="P19" s="2">
        <v>482041.05</v>
      </c>
      <c r="Q19" s="2"/>
      <c r="R19" s="19">
        <f t="shared" si="8"/>
        <v>0.60509961388643108</v>
      </c>
      <c r="S19" s="2"/>
      <c r="T19" s="2">
        <v>1059233</v>
      </c>
      <c r="U19" s="2"/>
      <c r="V19" s="19">
        <f t="shared" si="9"/>
        <v>0.72249972204544544</v>
      </c>
      <c r="W19" s="2"/>
      <c r="X19" s="2">
        <f t="shared" si="10"/>
        <v>-577191.94999999995</v>
      </c>
      <c r="Y19" s="2"/>
      <c r="Z19" s="19">
        <f t="shared" si="11"/>
        <v>-0.54491499981590452</v>
      </c>
    </row>
    <row r="20" spans="1:26" s="24" customFormat="1" hidden="1" outlineLevel="1" x14ac:dyDescent="0.3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"5004", " - ", "PURCHASES @ COST-DIGITAL TEXT")</f>
        <v xml:space="preserve">          5004 - PURCHASES @ COST-DIGITAL TEXT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-223271.06</v>
      </c>
      <c r="E23" s="2"/>
      <c r="F23" s="19">
        <f t="shared" si="4"/>
        <v>-0.30154271312602027</v>
      </c>
      <c r="G23" s="2"/>
      <c r="H23" s="2"/>
      <c r="I23" s="2"/>
      <c r="J23" s="19">
        <f t="shared" si="5"/>
        <v>0</v>
      </c>
      <c r="K23" s="2"/>
      <c r="L23" s="2">
        <f t="shared" si="6"/>
        <v>-223271.06</v>
      </c>
      <c r="M23" s="2"/>
      <c r="N23" s="19">
        <f t="shared" si="7"/>
        <v>0</v>
      </c>
      <c r="O23" s="11"/>
      <c r="P23" s="2">
        <v>-487662.78</v>
      </c>
      <c r="Q23" s="2"/>
      <c r="R23" s="19">
        <f t="shared" si="8"/>
        <v>-0.61215649556149543</v>
      </c>
      <c r="S23" s="2"/>
      <c r="T23" s="2"/>
      <c r="U23" s="2"/>
      <c r="V23" s="19">
        <f t="shared" si="9"/>
        <v>0</v>
      </c>
      <c r="W23" s="2"/>
      <c r="X23" s="2">
        <f t="shared" si="10"/>
        <v>-487662.78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"5300", " - ", "COG$ OFFSET")</f>
        <v xml:space="preserve">          5300 - COG$ OFFSET</v>
      </c>
      <c r="C24" s="11"/>
      <c r="D24" s="2">
        <v>599500.85</v>
      </c>
      <c r="E24" s="2"/>
      <c r="F24" s="19">
        <f t="shared" si="4"/>
        <v>0.80966656776008195</v>
      </c>
      <c r="G24" s="2"/>
      <c r="H24" s="2"/>
      <c r="I24" s="2"/>
      <c r="J24" s="19">
        <f t="shared" si="5"/>
        <v>0</v>
      </c>
      <c r="K24" s="2"/>
      <c r="L24" s="2">
        <f t="shared" si="6"/>
        <v>599500.85</v>
      </c>
      <c r="M24" s="2"/>
      <c r="N24" s="19">
        <f t="shared" si="7"/>
        <v>0</v>
      </c>
      <c r="O24" s="11"/>
      <c r="P24" s="2">
        <v>642192.56999999995</v>
      </c>
      <c r="Q24" s="2"/>
      <c r="R24" s="19">
        <f t="shared" si="8"/>
        <v>0.80613565203157456</v>
      </c>
      <c r="S24" s="2"/>
      <c r="T24" s="2"/>
      <c r="U24" s="2"/>
      <c r="V24" s="19">
        <f t="shared" si="9"/>
        <v>0</v>
      </c>
      <c r="W24" s="2"/>
      <c r="X24" s="2">
        <f t="shared" si="10"/>
        <v>642192.56999999995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"5500", " - ", "FREIGHT-IN")</f>
        <v xml:space="preserve">          5500 - FREIGHT-IN</v>
      </c>
      <c r="C25" s="11"/>
      <c r="D25" s="2">
        <v>3438.02</v>
      </c>
      <c r="E25" s="2"/>
      <c r="F25" s="19">
        <f t="shared" si="4"/>
        <v>4.6432792435415517E-3</v>
      </c>
      <c r="G25" s="2"/>
      <c r="H25" s="2"/>
      <c r="I25" s="2"/>
      <c r="J25" s="19">
        <f t="shared" si="5"/>
        <v>0</v>
      </c>
      <c r="K25" s="2"/>
      <c r="L25" s="2">
        <f t="shared" si="6"/>
        <v>3438.02</v>
      </c>
      <c r="M25" s="2"/>
      <c r="N25" s="19">
        <f t="shared" si="7"/>
        <v>0</v>
      </c>
      <c r="O25" s="11"/>
      <c r="P25" s="2">
        <v>5621.73</v>
      </c>
      <c r="Q25" s="2"/>
      <c r="R25" s="19">
        <f t="shared" si="8"/>
        <v>7.056881675064324E-3</v>
      </c>
      <c r="S25" s="2"/>
      <c r="T25" s="2"/>
      <c r="U25" s="2"/>
      <c r="V25" s="19">
        <f t="shared" si="9"/>
        <v>0</v>
      </c>
      <c r="W25" s="2"/>
      <c r="X25" s="2">
        <f t="shared" si="10"/>
        <v>5621.73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"5501", " - ", "FREIGHT-IN-NEW TEXT")</f>
        <v xml:space="preserve">          5501 - FREIGHT-IN-NEW TEXT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"5502", " - ", "FREIGHT-IN-USED TEXT")</f>
        <v xml:space="preserve">          5502 - FREIGHT-IN-USED TEXT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"5518", " - ", "FREIGHT-IN-STUDY GUIDES")</f>
        <v xml:space="preserve">          5518 - FREIGHT-IN-STUDY GUIDES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108</v>
      </c>
      <c r="C30" s="26"/>
      <c r="D30" s="21">
        <f>D12-D18</f>
        <v>140928.44999999995</v>
      </c>
      <c r="E30" s="13"/>
      <c r="F30" s="20">
        <f>IF(D$12=0,0,D30/D$12)</f>
        <v>0.19033343223991805</v>
      </c>
      <c r="G30" s="13"/>
      <c r="H30" s="21">
        <f>H12-H18</f>
        <v>387039</v>
      </c>
      <c r="I30" s="13"/>
      <c r="J30" s="20">
        <f>IF(H$12=0,0,H30/H$12)</f>
        <v>0.27750022584951684</v>
      </c>
      <c r="K30" s="16"/>
      <c r="L30" s="21">
        <f>+D30-H30</f>
        <v>-246110.55000000005</v>
      </c>
      <c r="M30" s="16"/>
      <c r="N30" s="20">
        <f>IF(H30=0,0,L30/H30)</f>
        <v>-0.63588049266353019</v>
      </c>
      <c r="O30" s="25"/>
      <c r="P30" s="21">
        <f>P12-P18</f>
        <v>154438.33000000007</v>
      </c>
      <c r="Q30" s="13"/>
      <c r="R30" s="20">
        <f>IF(P$12=0,0,P30/P$12)</f>
        <v>0.19386434796842564</v>
      </c>
      <c r="S30" s="13"/>
      <c r="T30" s="21">
        <f>T12-T18</f>
        <v>406834</v>
      </c>
      <c r="U30" s="13"/>
      <c r="V30" s="20">
        <f>IF(T$12=0,0,T30/T$12)</f>
        <v>0.27750027795455462</v>
      </c>
      <c r="W30" s="16"/>
      <c r="X30" s="21">
        <f>+P30-T30</f>
        <v>-252395.66999999993</v>
      </c>
      <c r="Y30" s="16"/>
      <c r="Z30" s="20">
        <f>IF(T30=0,0,X30/T30)</f>
        <v>-0.62038981501054469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2">
        <f>SUM(OSRRefD22x_0)</f>
        <v>53160.810000000005</v>
      </c>
      <c r="E32" s="22"/>
      <c r="F32" s="31">
        <f t="shared" ref="F32:F43" si="12">IF(D$12=0,0,D32/D$12)</f>
        <v>7.1797280307518904E-2</v>
      </c>
      <c r="G32" s="22"/>
      <c r="H32" s="22">
        <f>SUM(OSRRefH22x_0)</f>
        <v>64873.462538989719</v>
      </c>
      <c r="I32" s="22"/>
      <c r="J32" s="31">
        <f t="shared" ref="J32:J43" si="13">IF(H$12=0,0,H32/H$12)</f>
        <v>4.6513143394360301E-2</v>
      </c>
      <c r="K32" s="4"/>
      <c r="L32" s="22">
        <f t="shared" ref="L32:L43" si="14">+D32-H32</f>
        <v>-11712.652538989714</v>
      </c>
      <c r="M32" s="4"/>
      <c r="N32" s="31">
        <f t="shared" ref="N32:N43" si="15">IF(H32=0,0,L32/H32)</f>
        <v>-0.18054612904236877</v>
      </c>
      <c r="O32" s="10"/>
      <c r="P32" s="22">
        <f>SUM(OSRRefP22x_0)</f>
        <v>102301.55000000002</v>
      </c>
      <c r="Q32" s="22"/>
      <c r="R32" s="31">
        <f t="shared" ref="R32:R43" si="16">IF(P$12=0,0,P32/P$12)</f>
        <v>0.12841775281375606</v>
      </c>
      <c r="S32" s="22"/>
      <c r="T32" s="22">
        <f>SUM(OSRRefT22x_0)</f>
        <v>119577.87610772692</v>
      </c>
      <c r="U32" s="22"/>
      <c r="V32" s="31">
        <f t="shared" ref="V32:V43" si="17">IF(T$12=0,0,T32/T$12)</f>
        <v>8.1563718511996328E-2</v>
      </c>
      <c r="W32" s="4"/>
      <c r="X32" s="22">
        <f t="shared" ref="X32:X43" si="18">+P32-T32</f>
        <v>-17276.326107726898</v>
      </c>
      <c r="Y32" s="4"/>
      <c r="Z32" s="31">
        <f t="shared" ref="Z32:Z43" si="19">IF(T32=0,0,X32/T32)</f>
        <v>-0.14447761300060866</v>
      </c>
    </row>
    <row r="33" spans="1:26" s="28" customFormat="1" outlineLevel="1" collapsed="1" x14ac:dyDescent="0.3">
      <c r="A33" s="29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12699.169999999998</v>
      </c>
      <c r="E33" s="1"/>
      <c r="F33" s="5">
        <f t="shared" si="12"/>
        <v>1.7151090590283229E-2</v>
      </c>
      <c r="G33" s="1"/>
      <c r="H33" s="1">
        <f>SUM(OSRRefH22_0x_0)</f>
        <v>15283.178993735915</v>
      </c>
      <c r="I33" s="1"/>
      <c r="J33" s="5">
        <f t="shared" si="13"/>
        <v>1.0957773305688336E-2</v>
      </c>
      <c r="K33" s="1"/>
      <c r="L33" s="1">
        <f t="shared" si="14"/>
        <v>-2584.0089937359171</v>
      </c>
      <c r="M33" s="1"/>
      <c r="N33" s="5">
        <f t="shared" si="15"/>
        <v>-0.16907536022414049</v>
      </c>
      <c r="O33" s="14"/>
      <c r="P33" s="1">
        <f>SUM(OSRRefP22_0x_0)</f>
        <v>24502.239999999998</v>
      </c>
      <c r="Q33" s="1"/>
      <c r="R33" s="5">
        <f t="shared" si="16"/>
        <v>3.075733065338038E-2</v>
      </c>
      <c r="S33" s="1"/>
      <c r="T33" s="1">
        <f>SUM(OSRRefT22_0x_0)</f>
        <v>31045.738130905815</v>
      </c>
      <c r="U33" s="1"/>
      <c r="V33" s="5">
        <f t="shared" si="17"/>
        <v>2.1176206906577812E-2</v>
      </c>
      <c r="W33" s="1"/>
      <c r="X33" s="1">
        <f t="shared" si="18"/>
        <v>-6543.4981309058167</v>
      </c>
      <c r="Y33" s="1"/>
      <c r="Z33" s="5">
        <f t="shared" si="19"/>
        <v>-0.21076961041527983</v>
      </c>
    </row>
    <row r="34" spans="1:26" s="24" customFormat="1" hidden="1" outlineLevel="2" x14ac:dyDescent="0.3">
      <c r="A34" s="27"/>
      <c r="B34" s="11" t="str">
        <f>CONCATENATE("          ", "6111", " - ", "F.I.C.A.")</f>
        <v xml:space="preserve">          6111 - F.I.C.A.</v>
      </c>
      <c r="C34" s="11"/>
      <c r="D34" s="6">
        <v>2560.6999999999998</v>
      </c>
      <c r="E34" s="2"/>
      <c r="F34" s="7">
        <f t="shared" si="12"/>
        <v>3.458399066595555E-3</v>
      </c>
      <c r="G34" s="2"/>
      <c r="H34" s="6">
        <v>2867.81730197977</v>
      </c>
      <c r="I34" s="2"/>
      <c r="J34" s="7">
        <f t="shared" si="13"/>
        <v>2.0561750857007646E-3</v>
      </c>
      <c r="K34" s="2"/>
      <c r="L34" s="6">
        <f t="shared" si="14"/>
        <v>-307.11730197977022</v>
      </c>
      <c r="M34" s="2"/>
      <c r="N34" s="7">
        <f t="shared" si="15"/>
        <v>-0.10709095790995987</v>
      </c>
      <c r="O34" s="11"/>
      <c r="P34" s="6">
        <v>4664.3100000000004</v>
      </c>
      <c r="Q34" s="2"/>
      <c r="R34" s="7">
        <f t="shared" si="16"/>
        <v>5.8550452913639188E-3</v>
      </c>
      <c r="S34" s="2"/>
      <c r="T34" s="6">
        <v>5451.8826494544801</v>
      </c>
      <c r="U34" s="2"/>
      <c r="V34" s="7">
        <f t="shared" si="17"/>
        <v>3.7187131621232044E-3</v>
      </c>
      <c r="W34" s="2"/>
      <c r="X34" s="6">
        <f t="shared" si="18"/>
        <v>-787.57264945447969</v>
      </c>
      <c r="Y34" s="2"/>
      <c r="Z34" s="7">
        <f t="shared" si="19"/>
        <v>-0.14445884111854185</v>
      </c>
    </row>
    <row r="35" spans="1:26" s="24" customFormat="1" hidden="1" outlineLevel="2" x14ac:dyDescent="0.3">
      <c r="A35" s="27"/>
      <c r="B35" s="11" t="str">
        <f>CONCATENATE("          ", "6112", " - ", "COMPENSATION INSURANCE")</f>
        <v xml:space="preserve">          6112 - COMPENSATION INSURANCE</v>
      </c>
      <c r="C35" s="11"/>
      <c r="D35" s="6">
        <v>471.05</v>
      </c>
      <c r="E35" s="2"/>
      <c r="F35" s="7">
        <f t="shared" si="12"/>
        <v>6.361849807942501E-4</v>
      </c>
      <c r="G35" s="2"/>
      <c r="H35" s="6">
        <v>747.64735547999999</v>
      </c>
      <c r="I35" s="2"/>
      <c r="J35" s="7">
        <f t="shared" si="13"/>
        <v>5.3605013965386946E-4</v>
      </c>
      <c r="K35" s="2"/>
      <c r="L35" s="6">
        <f t="shared" si="14"/>
        <v>-276.59735547999998</v>
      </c>
      <c r="M35" s="2"/>
      <c r="N35" s="7">
        <f t="shared" si="15"/>
        <v>-0.36995697697936836</v>
      </c>
      <c r="O35" s="11"/>
      <c r="P35" s="6">
        <v>853.56</v>
      </c>
      <c r="Q35" s="2"/>
      <c r="R35" s="7">
        <f t="shared" si="16"/>
        <v>1.0714623296686082E-3</v>
      </c>
      <c r="S35" s="2"/>
      <c r="T35" s="6">
        <v>1336.94344983</v>
      </c>
      <c r="U35" s="2"/>
      <c r="V35" s="7">
        <f t="shared" si="17"/>
        <v>9.1192520521231292E-4</v>
      </c>
      <c r="W35" s="2"/>
      <c r="X35" s="6">
        <f t="shared" si="18"/>
        <v>-483.38344983000002</v>
      </c>
      <c r="Y35" s="2"/>
      <c r="Z35" s="7">
        <f t="shared" si="19"/>
        <v>-0.36155863577585501</v>
      </c>
    </row>
    <row r="36" spans="1:26" s="24" customFormat="1" hidden="1" outlineLevel="2" x14ac:dyDescent="0.3">
      <c r="A36" s="27"/>
      <c r="B36" s="11" t="str">
        <f>CONCATENATE("          ", "6113", " - ", "GROUP INSURANCE")</f>
        <v xml:space="preserve">          6113 - GROUP INSURANCE</v>
      </c>
      <c r="C36" s="11"/>
      <c r="D36" s="6">
        <v>4593.8599999999997</v>
      </c>
      <c r="E36" s="2"/>
      <c r="F36" s="7">
        <f t="shared" si="12"/>
        <v>6.2043195751437718E-3</v>
      </c>
      <c r="G36" s="2"/>
      <c r="H36" s="6">
        <v>5314</v>
      </c>
      <c r="I36" s="2"/>
      <c r="J36" s="7">
        <f t="shared" si="13"/>
        <v>3.8100454997153578E-3</v>
      </c>
      <c r="K36" s="2"/>
      <c r="L36" s="6">
        <f t="shared" si="14"/>
        <v>-720.14000000000033</v>
      </c>
      <c r="M36" s="2"/>
      <c r="N36" s="7">
        <f t="shared" si="15"/>
        <v>-0.13551750094091086</v>
      </c>
      <c r="O36" s="11"/>
      <c r="P36" s="6">
        <v>9187.7199999999993</v>
      </c>
      <c r="Q36" s="2"/>
      <c r="R36" s="7">
        <f t="shared" si="16"/>
        <v>1.1533220717398736E-2</v>
      </c>
      <c r="S36" s="2"/>
      <c r="T36" s="6">
        <v>10934</v>
      </c>
      <c r="U36" s="2"/>
      <c r="V36" s="7">
        <f t="shared" si="17"/>
        <v>7.4580493251672668E-3</v>
      </c>
      <c r="W36" s="2"/>
      <c r="X36" s="6">
        <f t="shared" si="18"/>
        <v>-1746.2800000000007</v>
      </c>
      <c r="Y36" s="2"/>
      <c r="Z36" s="7">
        <f t="shared" si="19"/>
        <v>-0.15971099323212004</v>
      </c>
    </row>
    <row r="37" spans="1:26" s="24" customFormat="1" hidden="1" outlineLevel="2" x14ac:dyDescent="0.3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6">
        <v>93.92</v>
      </c>
      <c r="E37" s="2"/>
      <c r="F37" s="7">
        <f t="shared" si="12"/>
        <v>1.2684533148539639E-4</v>
      </c>
      <c r="G37" s="2"/>
      <c r="H37" s="6">
        <v>100.64483631461501</v>
      </c>
      <c r="I37" s="2"/>
      <c r="J37" s="7">
        <f t="shared" si="13"/>
        <v>7.2160595722636003E-5</v>
      </c>
      <c r="K37" s="2"/>
      <c r="L37" s="6">
        <f t="shared" si="14"/>
        <v>-6.7248363146150041</v>
      </c>
      <c r="M37" s="2"/>
      <c r="N37" s="7">
        <f t="shared" si="15"/>
        <v>-6.6817499643928233E-2</v>
      </c>
      <c r="O37" s="11"/>
      <c r="P37" s="6">
        <v>168.63</v>
      </c>
      <c r="Q37" s="2"/>
      <c r="R37" s="7">
        <f t="shared" si="16"/>
        <v>2.1167895947797155E-4</v>
      </c>
      <c r="S37" s="2"/>
      <c r="T37" s="6">
        <v>179.97315670788399</v>
      </c>
      <c r="U37" s="2"/>
      <c r="V37" s="7">
        <f t="shared" si="17"/>
        <v>1.2275916224011862E-4</v>
      </c>
      <c r="W37" s="2"/>
      <c r="X37" s="6">
        <f t="shared" si="18"/>
        <v>-11.343156707883992</v>
      </c>
      <c r="Y37" s="2"/>
      <c r="Z37" s="7">
        <f t="shared" si="19"/>
        <v>-6.3026936435277237E-2</v>
      </c>
    </row>
    <row r="38" spans="1:26" s="24" customFormat="1" hidden="1" outlineLevel="2" x14ac:dyDescent="0.3">
      <c r="A38" s="27"/>
      <c r="B38" s="11" t="str">
        <f>CONCATENATE("          ", "6115", " - ", "P.E.R.S.")</f>
        <v xml:space="preserve">          6115 - P.E.R.S.</v>
      </c>
      <c r="C38" s="11"/>
      <c r="D38" s="6">
        <v>1607.1</v>
      </c>
      <c r="E38" s="2"/>
      <c r="F38" s="7">
        <f t="shared" si="12"/>
        <v>2.1704975748528593E-3</v>
      </c>
      <c r="G38" s="2"/>
      <c r="H38" s="6">
        <v>1664.68278164615</v>
      </c>
      <c r="I38" s="2"/>
      <c r="J38" s="7">
        <f t="shared" si="13"/>
        <v>1.1935485774679259E-3</v>
      </c>
      <c r="K38" s="2"/>
      <c r="L38" s="6">
        <f t="shared" si="14"/>
        <v>-57.582781646150124</v>
      </c>
      <c r="M38" s="2"/>
      <c r="N38" s="7">
        <f t="shared" si="15"/>
        <v>-3.4590843541499487E-2</v>
      </c>
      <c r="O38" s="11"/>
      <c r="P38" s="6">
        <v>3214.2</v>
      </c>
      <c r="Q38" s="2"/>
      <c r="R38" s="7">
        <f t="shared" si="16"/>
        <v>4.0347418107934303E-3</v>
      </c>
      <c r="S38" s="2"/>
      <c r="T38" s="6">
        <v>3745.5362587038398</v>
      </c>
      <c r="U38" s="2"/>
      <c r="V38" s="7">
        <f t="shared" si="17"/>
        <v>2.5548192945505492E-3</v>
      </c>
      <c r="W38" s="2"/>
      <c r="X38" s="6">
        <f t="shared" si="18"/>
        <v>-531.33625870384003</v>
      </c>
      <c r="Y38" s="2"/>
      <c r="Z38" s="7">
        <f t="shared" si="19"/>
        <v>-0.14185852759244449</v>
      </c>
    </row>
    <row r="39" spans="1:26" s="24" customFormat="1" hidden="1" outlineLevel="2" x14ac:dyDescent="0.3">
      <c r="A39" s="27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7"/>
      <c r="B40" s="11" t="str">
        <f>CONCATENATE("          ", "6117", " - ", "RETIREMENT STAFF HOURLY")</f>
        <v xml:space="preserve">          6117 - RETIREMENT STAFF HOURLY</v>
      </c>
      <c r="C40" s="11"/>
      <c r="D40" s="6">
        <v>532.32000000000005</v>
      </c>
      <c r="E40" s="2"/>
      <c r="F40" s="7">
        <f t="shared" si="12"/>
        <v>7.1893427232012572E-4</v>
      </c>
      <c r="G40" s="2"/>
      <c r="H40" s="6"/>
      <c r="I40" s="2"/>
      <c r="J40" s="7">
        <f t="shared" si="13"/>
        <v>0</v>
      </c>
      <c r="K40" s="2"/>
      <c r="L40" s="6">
        <f t="shared" si="14"/>
        <v>532.32000000000005</v>
      </c>
      <c r="M40" s="2"/>
      <c r="N40" s="7">
        <f t="shared" si="15"/>
        <v>0</v>
      </c>
      <c r="O40" s="11"/>
      <c r="P40" s="6">
        <v>785.93</v>
      </c>
      <c r="Q40" s="2"/>
      <c r="R40" s="7">
        <f t="shared" si="16"/>
        <v>9.865673048836043E-4</v>
      </c>
      <c r="S40" s="2"/>
      <c r="T40" s="6"/>
      <c r="U40" s="2"/>
      <c r="V40" s="7">
        <f t="shared" si="17"/>
        <v>0</v>
      </c>
      <c r="W40" s="2"/>
      <c r="X40" s="6">
        <f t="shared" si="18"/>
        <v>785.93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"6118", " - ", "VACATION")</f>
        <v xml:space="preserve">          6118 - VACATION</v>
      </c>
      <c r="C41" s="11"/>
      <c r="D41" s="6">
        <v>1307.55</v>
      </c>
      <c r="E41" s="2"/>
      <c r="F41" s="7">
        <f t="shared" si="12"/>
        <v>1.765934978532049E-3</v>
      </c>
      <c r="G41" s="2"/>
      <c r="H41" s="6">
        <v>1689.1935418999999</v>
      </c>
      <c r="I41" s="2"/>
      <c r="J41" s="7">
        <f t="shared" si="13"/>
        <v>1.2111223659135003E-3</v>
      </c>
      <c r="K41" s="2"/>
      <c r="L41" s="6">
        <f t="shared" si="14"/>
        <v>-381.64354189999995</v>
      </c>
      <c r="M41" s="2"/>
      <c r="N41" s="7">
        <f t="shared" si="15"/>
        <v>-0.22593239462112105</v>
      </c>
      <c r="O41" s="11"/>
      <c r="P41" s="6">
        <v>2664.89</v>
      </c>
      <c r="Q41" s="2"/>
      <c r="R41" s="7">
        <f t="shared" si="16"/>
        <v>3.345200393306361E-3</v>
      </c>
      <c r="S41" s="2"/>
      <c r="T41" s="6">
        <v>3800.6854692749998</v>
      </c>
      <c r="U41" s="2"/>
      <c r="V41" s="7">
        <f t="shared" si="17"/>
        <v>2.5924364093012119E-3</v>
      </c>
      <c r="W41" s="2"/>
      <c r="X41" s="6">
        <f t="shared" si="18"/>
        <v>-1135.795469275</v>
      </c>
      <c r="Y41" s="2"/>
      <c r="Z41" s="7">
        <f t="shared" si="19"/>
        <v>-0.29883963786449785</v>
      </c>
    </row>
    <row r="42" spans="1:26" s="24" customFormat="1" hidden="1" outlineLevel="2" x14ac:dyDescent="0.3">
      <c r="A42" s="27"/>
      <c r="B42" s="11" t="str">
        <f>CONCATENATE("          ", "6119", " - ", "SICK LEAVE")</f>
        <v xml:space="preserve">          6119 - SICK LEAVE</v>
      </c>
      <c r="C42" s="11"/>
      <c r="D42" s="6">
        <v>1071.9000000000001</v>
      </c>
      <c r="E42" s="2"/>
      <c r="F42" s="7">
        <f t="shared" si="12"/>
        <v>1.4476736671549873E-3</v>
      </c>
      <c r="G42" s="2"/>
      <c r="H42" s="6">
        <v>1849.1931764153801</v>
      </c>
      <c r="I42" s="2"/>
      <c r="J42" s="7">
        <f t="shared" si="13"/>
        <v>1.3258393187628465E-3</v>
      </c>
      <c r="K42" s="2"/>
      <c r="L42" s="6">
        <f t="shared" si="14"/>
        <v>-777.29317641538</v>
      </c>
      <c r="M42" s="2"/>
      <c r="N42" s="7">
        <f t="shared" si="15"/>
        <v>-0.42034179356109541</v>
      </c>
      <c r="O42" s="11"/>
      <c r="P42" s="6">
        <v>2143.8000000000002</v>
      </c>
      <c r="Q42" s="2"/>
      <c r="R42" s="7">
        <f t="shared" si="16"/>
        <v>2.6910831603443961E-3</v>
      </c>
      <c r="S42" s="2"/>
      <c r="T42" s="6">
        <v>3496.7171469346099</v>
      </c>
      <c r="U42" s="2"/>
      <c r="V42" s="7">
        <f t="shared" si="17"/>
        <v>2.3851005083223411E-3</v>
      </c>
      <c r="W42" s="2"/>
      <c r="X42" s="6">
        <f t="shared" si="18"/>
        <v>-1352.9171469346097</v>
      </c>
      <c r="Y42" s="2"/>
      <c r="Z42" s="7">
        <f t="shared" si="19"/>
        <v>-0.38691066222517934</v>
      </c>
    </row>
    <row r="43" spans="1:26" s="24" customFormat="1" hidden="1" outlineLevel="2" x14ac:dyDescent="0.3">
      <c r="A43" s="27"/>
      <c r="B43" s="11" t="str">
        <f>CONCATENATE("          ", "6156", " - ", "EMPLOYEE MEALS")</f>
        <v xml:space="preserve">          6156 - EMPLOYEE MEALS</v>
      </c>
      <c r="C43" s="11"/>
      <c r="D43" s="6">
        <v>460.77</v>
      </c>
      <c r="E43" s="2"/>
      <c r="F43" s="7">
        <f t="shared" si="12"/>
        <v>6.2230114340423859E-4</v>
      </c>
      <c r="G43" s="2"/>
      <c r="H43" s="6">
        <v>1050</v>
      </c>
      <c r="I43" s="2"/>
      <c r="J43" s="7">
        <f t="shared" si="13"/>
        <v>7.5283172275143501E-4</v>
      </c>
      <c r="K43" s="2"/>
      <c r="L43" s="6">
        <f t="shared" si="14"/>
        <v>-589.23</v>
      </c>
      <c r="M43" s="2"/>
      <c r="N43" s="7">
        <f t="shared" si="15"/>
        <v>-0.56117142857142854</v>
      </c>
      <c r="O43" s="11"/>
      <c r="P43" s="6">
        <v>819.2</v>
      </c>
      <c r="Q43" s="2"/>
      <c r="R43" s="7">
        <f t="shared" si="16"/>
        <v>1.0283306861433572E-3</v>
      </c>
      <c r="S43" s="2"/>
      <c r="T43" s="6">
        <v>2100</v>
      </c>
      <c r="U43" s="2"/>
      <c r="V43" s="7">
        <f t="shared" si="17"/>
        <v>1.4324038396608069E-3</v>
      </c>
      <c r="W43" s="2"/>
      <c r="X43" s="6">
        <f t="shared" si="18"/>
        <v>-1280.8</v>
      </c>
      <c r="Y43" s="2"/>
      <c r="Z43" s="7">
        <f t="shared" si="19"/>
        <v>-0.60990476190476184</v>
      </c>
    </row>
    <row r="44" spans="1:26" s="28" customFormat="1" outlineLevel="1" collapsed="1" x14ac:dyDescent="0.3">
      <c r="A44" s="29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37759.429999999993</v>
      </c>
      <c r="E44" s="1"/>
      <c r="F44" s="5">
        <f t="shared" ref="F44:F54" si="20">IF(D$12=0,0,D44/D$12)</f>
        <v>5.0996671795673125E-2</v>
      </c>
      <c r="G44" s="1"/>
      <c r="H44" s="1">
        <f>SUM(OSRRefH22_1x_0)</f>
        <v>45435.283545253798</v>
      </c>
      <c r="I44" s="1"/>
      <c r="J44" s="5">
        <f t="shared" ref="J44:J54" si="21">IF(H$12=0,0,H44/H$12)</f>
        <v>3.2576307414355569E-2</v>
      </c>
      <c r="K44" s="1"/>
      <c r="L44" s="1">
        <f t="shared" ref="L44:L54" si="22">+D44-H44</f>
        <v>-7675.8535452538054</v>
      </c>
      <c r="M44" s="1"/>
      <c r="N44" s="5">
        <f t="shared" ref="N44:N54" si="23">IF(H44=0,0,L44/H44)</f>
        <v>-0.16894036850476815</v>
      </c>
      <c r="O44" s="14"/>
      <c r="P44" s="1">
        <f>SUM(OSRRefP22_1x_0)</f>
        <v>70181.180000000008</v>
      </c>
      <c r="Q44" s="1"/>
      <c r="R44" s="5">
        <f t="shared" ref="R44:R54" si="24">IF(P$12=0,0,P44/P$12)</f>
        <v>8.8097486552429757E-2</v>
      </c>
      <c r="S44" s="1"/>
      <c r="T44" s="1">
        <f>SUM(OSRRefT22_1x_0)</f>
        <v>80097.137976821105</v>
      </c>
      <c r="U44" s="1"/>
      <c r="V44" s="5">
        <f t="shared" ref="V44:V54" si="25">IF(T$12=0,0,T44/T$12)</f>
        <v>5.4634022849447607E-2</v>
      </c>
      <c r="W44" s="1"/>
      <c r="X44" s="1">
        <f t="shared" ref="X44:X54" si="26">+P44-T44</f>
        <v>-9915.957976821097</v>
      </c>
      <c r="Y44" s="1"/>
      <c r="Z44" s="5">
        <f t="shared" ref="Z44:Z54" si="27">IF(T44=0,0,X44/T44)</f>
        <v>-0.12379915471749596</v>
      </c>
    </row>
    <row r="45" spans="1:26" s="24" customFormat="1" hidden="1" outlineLevel="2" x14ac:dyDescent="0.3">
      <c r="A45" s="27"/>
      <c r="B45" s="11" t="str">
        <f>CONCATENATE("          ", "6001", " - ", "ADMINISTRATIVE SALARIES")</f>
        <v xml:space="preserve">          6001 - ADMINISTRATIVE SALARIES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"6002", " - ", "STAFF SALARIES")</f>
        <v xml:space="preserve">          6002 - STAFF SALARIES</v>
      </c>
      <c r="C46" s="11"/>
      <c r="D46" s="6">
        <v>17688.78</v>
      </c>
      <c r="E46" s="2"/>
      <c r="F46" s="7">
        <f t="shared" si="20"/>
        <v>2.3889897387907259E-2</v>
      </c>
      <c r="G46" s="2"/>
      <c r="H46" s="6">
        <v>17293.700777253802</v>
      </c>
      <c r="I46" s="2"/>
      <c r="J46" s="7">
        <f t="shared" si="21"/>
        <v>1.23992824275122E-2</v>
      </c>
      <c r="K46" s="2"/>
      <c r="L46" s="6">
        <f t="shared" si="22"/>
        <v>395.07922274619705</v>
      </c>
      <c r="M46" s="2"/>
      <c r="N46" s="7">
        <f t="shared" si="23"/>
        <v>2.2845267640217298E-2</v>
      </c>
      <c r="O46" s="11"/>
      <c r="P46" s="6">
        <v>36750.01</v>
      </c>
      <c r="Q46" s="2"/>
      <c r="R46" s="7">
        <f t="shared" si="24"/>
        <v>4.6131790770355514E-2</v>
      </c>
      <c r="S46" s="2"/>
      <c r="T46" s="6">
        <v>38910.826748821099</v>
      </c>
      <c r="U46" s="2"/>
      <c r="V46" s="7">
        <f t="shared" si="25"/>
        <v>2.654096078066084E-2</v>
      </c>
      <c r="W46" s="2"/>
      <c r="X46" s="6">
        <f t="shared" si="26"/>
        <v>-2160.8167488210966</v>
      </c>
      <c r="Y46" s="2"/>
      <c r="Z46" s="7">
        <f t="shared" si="27"/>
        <v>-5.5532532443211678E-2</v>
      </c>
    </row>
    <row r="47" spans="1:26" s="24" customFormat="1" hidden="1" outlineLevel="2" x14ac:dyDescent="0.3">
      <c r="A47" s="27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3">
      <c r="A48" s="27"/>
      <c r="B48" s="11" t="str">
        <f>CONCATENATE("          ", "6004", " - ", "STAFF HOURLY")</f>
        <v xml:space="preserve">          6004 - STAFF HOURLY</v>
      </c>
      <c r="C48" s="11"/>
      <c r="D48" s="6">
        <v>6640.82</v>
      </c>
      <c r="E48" s="2"/>
      <c r="F48" s="7">
        <f t="shared" si="20"/>
        <v>8.9688779198770236E-3</v>
      </c>
      <c r="G48" s="2"/>
      <c r="H48" s="6">
        <v>5928.5827680000002</v>
      </c>
      <c r="I48" s="2"/>
      <c r="J48" s="7">
        <f t="shared" si="21"/>
        <v>4.2506906463884876E-3</v>
      </c>
      <c r="K48" s="2"/>
      <c r="L48" s="6">
        <f t="shared" si="22"/>
        <v>712.23723199999949</v>
      </c>
      <c r="M48" s="2"/>
      <c r="N48" s="7">
        <f t="shared" si="23"/>
        <v>0.12013617079689887</v>
      </c>
      <c r="O48" s="11"/>
      <c r="P48" s="6">
        <v>12824.87</v>
      </c>
      <c r="Q48" s="2"/>
      <c r="R48" s="7">
        <f t="shared" si="24"/>
        <v>1.6098885945799998E-2</v>
      </c>
      <c r="S48" s="2"/>
      <c r="T48" s="6">
        <v>13339.311228</v>
      </c>
      <c r="U48" s="2"/>
      <c r="V48" s="7">
        <f t="shared" si="25"/>
        <v>9.0987050578179574E-3</v>
      </c>
      <c r="W48" s="2"/>
      <c r="X48" s="6">
        <f t="shared" si="26"/>
        <v>-514.44122799999968</v>
      </c>
      <c r="Y48" s="2"/>
      <c r="Z48" s="7">
        <f t="shared" si="27"/>
        <v>-3.8565801427599744E-2</v>
      </c>
    </row>
    <row r="49" spans="1:26" s="24" customFormat="1" hidden="1" outlineLevel="2" x14ac:dyDescent="0.3">
      <c r="A49" s="27"/>
      <c r="B49" s="11" t="str">
        <f>CONCATENATE("          ", "6005", " - ", "TEMPORARY WAGES-HOURLY")</f>
        <v xml:space="preserve">          6005 - TEMPORARY WAGES-HOURLY</v>
      </c>
      <c r="C49" s="11"/>
      <c r="D49" s="6">
        <v>3203.48</v>
      </c>
      <c r="E49" s="2"/>
      <c r="F49" s="7">
        <f t="shared" si="20"/>
        <v>4.3265170624663292E-3</v>
      </c>
      <c r="G49" s="2"/>
      <c r="H49" s="6">
        <v>4181</v>
      </c>
      <c r="I49" s="2"/>
      <c r="J49" s="7">
        <f t="shared" si="21"/>
        <v>2.9977042217369048E-3</v>
      </c>
      <c r="K49" s="2"/>
      <c r="L49" s="6">
        <f t="shared" si="22"/>
        <v>-977.52</v>
      </c>
      <c r="M49" s="2"/>
      <c r="N49" s="7">
        <f t="shared" si="23"/>
        <v>-0.23380052618990671</v>
      </c>
      <c r="O49" s="11"/>
      <c r="P49" s="6">
        <v>7081.27</v>
      </c>
      <c r="Q49" s="2"/>
      <c r="R49" s="7">
        <f t="shared" si="24"/>
        <v>8.8890225071610977E-3</v>
      </c>
      <c r="S49" s="2"/>
      <c r="T49" s="6">
        <v>8191</v>
      </c>
      <c r="U49" s="2"/>
      <c r="V49" s="7">
        <f t="shared" si="25"/>
        <v>5.5870570717436513E-3</v>
      </c>
      <c r="W49" s="2"/>
      <c r="X49" s="6">
        <f t="shared" si="26"/>
        <v>-1109.7299999999996</v>
      </c>
      <c r="Y49" s="2"/>
      <c r="Z49" s="7">
        <f t="shared" si="27"/>
        <v>-0.13548162617507015</v>
      </c>
    </row>
    <row r="50" spans="1:26" s="24" customFormat="1" hidden="1" outlineLevel="2" x14ac:dyDescent="0.3">
      <c r="A50" s="27"/>
      <c r="B50" s="11" t="str">
        <f>CONCATENATE("          ", "6006", " - ", "TEMPORARY PART TIME")</f>
        <v xml:space="preserve">          6006 - TEMPORARY PART TIME</v>
      </c>
      <c r="C50" s="11"/>
      <c r="D50" s="6"/>
      <c r="E50" s="2"/>
      <c r="F50" s="7">
        <f t="shared" si="20"/>
        <v>0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0</v>
      </c>
      <c r="M50" s="2"/>
      <c r="N50" s="7">
        <f t="shared" si="23"/>
        <v>0</v>
      </c>
      <c r="O50" s="11"/>
      <c r="P50" s="6"/>
      <c r="Q50" s="2"/>
      <c r="R50" s="7">
        <f t="shared" si="24"/>
        <v>0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0</v>
      </c>
      <c r="Y50" s="2"/>
      <c r="Z50" s="7">
        <f t="shared" si="27"/>
        <v>0</v>
      </c>
    </row>
    <row r="51" spans="1:26" s="24" customFormat="1" hidden="1" outlineLevel="2" x14ac:dyDescent="0.3">
      <c r="A51" s="27"/>
      <c r="B51" s="11" t="str">
        <f>CONCATENATE("          ", "6007", " - ", "STUDENT HOURLY")</f>
        <v xml:space="preserve">          6007 - STUDENT HOURLY</v>
      </c>
      <c r="C51" s="11"/>
      <c r="D51" s="6">
        <v>8687.33</v>
      </c>
      <c r="E51" s="2"/>
      <c r="F51" s="7">
        <f t="shared" si="20"/>
        <v>1.1732828509082503E-2</v>
      </c>
      <c r="G51" s="2"/>
      <c r="H51" s="6">
        <v>11760</v>
      </c>
      <c r="I51" s="2"/>
      <c r="J51" s="7">
        <f t="shared" si="21"/>
        <v>8.4317152948160719E-3</v>
      </c>
      <c r="K51" s="2"/>
      <c r="L51" s="6">
        <f t="shared" si="22"/>
        <v>-3072.67</v>
      </c>
      <c r="M51" s="2"/>
      <c r="N51" s="7">
        <f t="shared" si="23"/>
        <v>-0.26128146258503404</v>
      </c>
      <c r="O51" s="11"/>
      <c r="P51" s="6">
        <v>11986.01</v>
      </c>
      <c r="Q51" s="2"/>
      <c r="R51" s="7">
        <f t="shared" si="24"/>
        <v>1.5045876327418384E-2</v>
      </c>
      <c r="S51" s="2"/>
      <c r="T51" s="6">
        <v>13384</v>
      </c>
      <c r="U51" s="2"/>
      <c r="V51" s="7">
        <f t="shared" si="25"/>
        <v>9.1291871381048752E-3</v>
      </c>
      <c r="W51" s="2"/>
      <c r="X51" s="6">
        <f t="shared" si="26"/>
        <v>-1397.9899999999998</v>
      </c>
      <c r="Y51" s="2"/>
      <c r="Z51" s="7">
        <f t="shared" si="27"/>
        <v>-0.10445233114166166</v>
      </c>
    </row>
    <row r="52" spans="1:26" s="24" customFormat="1" hidden="1" outlineLevel="2" x14ac:dyDescent="0.3">
      <c r="A52" s="27"/>
      <c r="B52" s="11" t="str">
        <f>CONCATENATE("          ", "6008", " - ", "STUDENT HOURLY-FICA EXEMPT")</f>
        <v xml:space="preserve">          6008 - STUDENT HOURLY-FICA EXEMPT</v>
      </c>
      <c r="C52" s="11"/>
      <c r="D52" s="6">
        <v>1539.02</v>
      </c>
      <c r="E52" s="2"/>
      <c r="F52" s="7">
        <f t="shared" si="20"/>
        <v>2.0785509163400205E-3</v>
      </c>
      <c r="G52" s="2"/>
      <c r="H52" s="6">
        <v>6272</v>
      </c>
      <c r="I52" s="2"/>
      <c r="J52" s="7">
        <f t="shared" si="21"/>
        <v>4.4969148239019053E-3</v>
      </c>
      <c r="K52" s="2"/>
      <c r="L52" s="6">
        <f t="shared" si="22"/>
        <v>-4732.9799999999996</v>
      </c>
      <c r="M52" s="2"/>
      <c r="N52" s="7">
        <f t="shared" si="23"/>
        <v>-0.75462053571428567</v>
      </c>
      <c r="O52" s="11"/>
      <c r="P52" s="6">
        <v>1539.02</v>
      </c>
      <c r="Q52" s="2"/>
      <c r="R52" s="7">
        <f t="shared" si="24"/>
        <v>1.9319110016947625E-3</v>
      </c>
      <c r="S52" s="2"/>
      <c r="T52" s="6">
        <v>6272</v>
      </c>
      <c r="U52" s="2"/>
      <c r="V52" s="7">
        <f t="shared" si="25"/>
        <v>4.2781128011202766E-3</v>
      </c>
      <c r="W52" s="2"/>
      <c r="X52" s="6">
        <f t="shared" si="26"/>
        <v>-4732.9799999999996</v>
      </c>
      <c r="Y52" s="2"/>
      <c r="Z52" s="7">
        <f t="shared" si="27"/>
        <v>-0.75462053571428567</v>
      </c>
    </row>
    <row r="53" spans="1:26" s="24" customFormat="1" hidden="1" outlineLevel="2" x14ac:dyDescent="0.3">
      <c r="A53" s="27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3">
      <c r="A54" s="27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8" customFormat="1" outlineLevel="1" collapsed="1" x14ac:dyDescent="0.3">
      <c r="A55" s="29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84.14</v>
      </c>
      <c r="E55" s="1"/>
      <c r="F55" s="5">
        <f t="shared" ref="F55:F70" si="28">IF(D$12=0,0,D55/D$12)</f>
        <v>1.1363677801513258E-4</v>
      </c>
      <c r="G55" s="1"/>
      <c r="H55" s="1">
        <f>SUM(OSRRefH22_2x_0)</f>
        <v>400</v>
      </c>
      <c r="I55" s="1"/>
      <c r="J55" s="5">
        <f t="shared" ref="J55:J70" si="29">IF(H$12=0,0,H55/H$12)</f>
        <v>2.8679303723864194E-4</v>
      </c>
      <c r="K55" s="1"/>
      <c r="L55" s="1">
        <f t="shared" ref="L55:L70" si="30">+D55-H55</f>
        <v>-315.86</v>
      </c>
      <c r="M55" s="1"/>
      <c r="N55" s="5">
        <f t="shared" ref="N55:N70" si="31">IF(H55=0,0,L55/H55)</f>
        <v>-0.78965000000000007</v>
      </c>
      <c r="O55" s="14"/>
      <c r="P55" s="1">
        <f>SUM(OSRRefP22_2x_0)</f>
        <v>84.14</v>
      </c>
      <c r="Q55" s="1"/>
      <c r="R55" s="5">
        <f t="shared" ref="R55:R70" si="32">IF(P$12=0,0,P55/P$12)</f>
        <v>1.0561980460461679E-4</v>
      </c>
      <c r="S55" s="1"/>
      <c r="T55" s="1">
        <f>SUM(OSRRefT22_2x_0)</f>
        <v>1800</v>
      </c>
      <c r="U55" s="1"/>
      <c r="V55" s="5">
        <f t="shared" ref="V55:V70" si="33">IF(T$12=0,0,T55/T$12)</f>
        <v>1.2277747197092629E-3</v>
      </c>
      <c r="W55" s="1"/>
      <c r="X55" s="1">
        <f t="shared" ref="X55:X70" si="34">+P55-T55</f>
        <v>-1715.86</v>
      </c>
      <c r="Y55" s="1"/>
      <c r="Z55" s="5">
        <f t="shared" ref="Z55:Z70" si="35">IF(T55=0,0,X55/T55)</f>
        <v>-0.95325555555555552</v>
      </c>
    </row>
    <row r="56" spans="1:26" s="24" customFormat="1" hidden="1" outlineLevel="2" x14ac:dyDescent="0.3">
      <c r="A56" s="27"/>
      <c r="B56" s="11" t="str">
        <f>CONCATENATE("          ", "6362", " - ", "ADVERTISING EXPENSE")</f>
        <v xml:space="preserve">          6362 - ADVERTISING EXPENSE</v>
      </c>
      <c r="C56" s="11"/>
      <c r="D56" s="6">
        <v>84.14</v>
      </c>
      <c r="E56" s="2"/>
      <c r="F56" s="7">
        <f t="shared" si="28"/>
        <v>1.1363677801513258E-4</v>
      </c>
      <c r="G56" s="2"/>
      <c r="H56" s="6">
        <v>400</v>
      </c>
      <c r="I56" s="2"/>
      <c r="J56" s="7">
        <f t="shared" si="29"/>
        <v>2.8679303723864194E-4</v>
      </c>
      <c r="K56" s="2"/>
      <c r="L56" s="6">
        <f t="shared" si="30"/>
        <v>-315.86</v>
      </c>
      <c r="M56" s="2"/>
      <c r="N56" s="7">
        <f t="shared" si="31"/>
        <v>-0.78965000000000007</v>
      </c>
      <c r="O56" s="11"/>
      <c r="P56" s="6">
        <v>84.14</v>
      </c>
      <c r="Q56" s="2"/>
      <c r="R56" s="7">
        <f t="shared" si="32"/>
        <v>1.0561980460461679E-4</v>
      </c>
      <c r="S56" s="2"/>
      <c r="T56" s="6">
        <v>1800</v>
      </c>
      <c r="U56" s="2"/>
      <c r="V56" s="7">
        <f t="shared" si="33"/>
        <v>1.2277747197092629E-3</v>
      </c>
      <c r="W56" s="2"/>
      <c r="X56" s="6">
        <f t="shared" si="34"/>
        <v>-1715.86</v>
      </c>
      <c r="Y56" s="2"/>
      <c r="Z56" s="7">
        <f t="shared" si="35"/>
        <v>-0.95325555555555552</v>
      </c>
    </row>
    <row r="57" spans="1:26" s="28" customFormat="1" outlineLevel="1" collapsed="1" x14ac:dyDescent="0.3">
      <c r="A57" s="29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SUM(OSRRefD22_3x_0)</f>
        <v>0</v>
      </c>
      <c r="E57" s="1"/>
      <c r="F57" s="5">
        <f t="shared" si="28"/>
        <v>0</v>
      </c>
      <c r="G57" s="1"/>
      <c r="H57" s="1">
        <f>SUM(OSRRefH22_3x_0)</f>
        <v>50</v>
      </c>
      <c r="I57" s="1"/>
      <c r="J57" s="5">
        <f t="shared" si="29"/>
        <v>3.5849129654830243E-5</v>
      </c>
      <c r="K57" s="1"/>
      <c r="L57" s="1">
        <f t="shared" si="30"/>
        <v>-50</v>
      </c>
      <c r="M57" s="1"/>
      <c r="N57" s="5">
        <f t="shared" si="31"/>
        <v>-1</v>
      </c>
      <c r="O57" s="14"/>
      <c r="P57" s="1">
        <f>SUM(OSRRefP22_3x_0)</f>
        <v>0</v>
      </c>
      <c r="Q57" s="1"/>
      <c r="R57" s="5">
        <f t="shared" si="32"/>
        <v>0</v>
      </c>
      <c r="S57" s="1"/>
      <c r="T57" s="1">
        <f>SUM(OSRRefT22_3x_0)</f>
        <v>100</v>
      </c>
      <c r="U57" s="1"/>
      <c r="V57" s="5">
        <f t="shared" si="33"/>
        <v>6.8209706650514603E-5</v>
      </c>
      <c r="W57" s="1"/>
      <c r="X57" s="1">
        <f t="shared" si="34"/>
        <v>-100</v>
      </c>
      <c r="Y57" s="1"/>
      <c r="Z57" s="5">
        <f t="shared" si="35"/>
        <v>-1</v>
      </c>
    </row>
    <row r="58" spans="1:26" s="24" customFormat="1" hidden="1" outlineLevel="2" x14ac:dyDescent="0.3">
      <c r="A58" s="27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28"/>
        <v>0</v>
      </c>
      <c r="G58" s="2"/>
      <c r="H58" s="6">
        <v>50</v>
      </c>
      <c r="I58" s="2"/>
      <c r="J58" s="7">
        <f t="shared" si="29"/>
        <v>3.5849129654830243E-5</v>
      </c>
      <c r="K58" s="2"/>
      <c r="L58" s="6">
        <f t="shared" si="30"/>
        <v>-50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100</v>
      </c>
      <c r="U58" s="2"/>
      <c r="V58" s="7">
        <f t="shared" si="33"/>
        <v>6.8209706650514603E-5</v>
      </c>
      <c r="W58" s="2"/>
      <c r="X58" s="6">
        <f t="shared" si="34"/>
        <v>-100</v>
      </c>
      <c r="Y58" s="2"/>
      <c r="Z58" s="7">
        <f t="shared" si="35"/>
        <v>-1</v>
      </c>
    </row>
    <row r="59" spans="1:26" s="28" customFormat="1" outlineLevel="1" collapsed="1" x14ac:dyDescent="0.3">
      <c r="A59" s="29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SUM(OSRRefD22_4x_0)</f>
        <v>91.26</v>
      </c>
      <c r="E59" s="1"/>
      <c r="F59" s="5">
        <f t="shared" si="28"/>
        <v>1.2325282103233895E-4</v>
      </c>
      <c r="G59" s="1"/>
      <c r="H59" s="1">
        <f>SUM(OSRRefH22_4x_0)</f>
        <v>100</v>
      </c>
      <c r="I59" s="1"/>
      <c r="J59" s="5">
        <f t="shared" si="29"/>
        <v>7.1698259309660486E-5</v>
      </c>
      <c r="K59" s="1"/>
      <c r="L59" s="1">
        <f t="shared" si="30"/>
        <v>-8.7399999999999949</v>
      </c>
      <c r="M59" s="1"/>
      <c r="N59" s="5">
        <f t="shared" si="31"/>
        <v>-8.739999999999995E-2</v>
      </c>
      <c r="O59" s="14"/>
      <c r="P59" s="1">
        <f>SUM(OSRRefP22_4x_0)</f>
        <v>182.52</v>
      </c>
      <c r="Q59" s="1"/>
      <c r="R59" s="5">
        <f t="shared" si="32"/>
        <v>2.291148887144599E-4</v>
      </c>
      <c r="S59" s="1"/>
      <c r="T59" s="1">
        <f>SUM(OSRRefT22_4x_0)</f>
        <v>200</v>
      </c>
      <c r="U59" s="1"/>
      <c r="V59" s="5">
        <f t="shared" si="33"/>
        <v>1.3641941330102921E-4</v>
      </c>
      <c r="W59" s="1"/>
      <c r="X59" s="1">
        <f t="shared" si="34"/>
        <v>-17.47999999999999</v>
      </c>
      <c r="Y59" s="1"/>
      <c r="Z59" s="5">
        <f t="shared" si="35"/>
        <v>-8.739999999999995E-2</v>
      </c>
    </row>
    <row r="60" spans="1:26" s="24" customFormat="1" hidden="1" outlineLevel="2" x14ac:dyDescent="0.3">
      <c r="A60" s="27"/>
      <c r="B60" s="11" t="str">
        <f>CONCATENATE("          ", "6351", " - ", "EQUIPMENT RENTAL")</f>
        <v xml:space="preserve">          6351 - EQUIPMENT RENTAL</v>
      </c>
      <c r="C60" s="11"/>
      <c r="D60" s="6">
        <v>91.26</v>
      </c>
      <c r="E60" s="2"/>
      <c r="F60" s="7">
        <f t="shared" si="28"/>
        <v>1.2325282103233895E-4</v>
      </c>
      <c r="G60" s="2"/>
      <c r="H60" s="6">
        <v>100</v>
      </c>
      <c r="I60" s="2"/>
      <c r="J60" s="7">
        <f t="shared" si="29"/>
        <v>7.1698259309660486E-5</v>
      </c>
      <c r="K60" s="2"/>
      <c r="L60" s="6">
        <f t="shared" si="30"/>
        <v>-8.7399999999999949</v>
      </c>
      <c r="M60" s="2"/>
      <c r="N60" s="7">
        <f t="shared" si="31"/>
        <v>-8.739999999999995E-2</v>
      </c>
      <c r="O60" s="11"/>
      <c r="P60" s="6">
        <v>182.52</v>
      </c>
      <c r="Q60" s="2"/>
      <c r="R60" s="7">
        <f t="shared" si="32"/>
        <v>2.291148887144599E-4</v>
      </c>
      <c r="S60" s="2"/>
      <c r="T60" s="6">
        <v>200</v>
      </c>
      <c r="U60" s="2"/>
      <c r="V60" s="7">
        <f t="shared" si="33"/>
        <v>1.3641941330102921E-4</v>
      </c>
      <c r="W60" s="2"/>
      <c r="X60" s="6">
        <f t="shared" si="34"/>
        <v>-17.47999999999999</v>
      </c>
      <c r="Y60" s="2"/>
      <c r="Z60" s="7">
        <f t="shared" si="35"/>
        <v>-8.739999999999995E-2</v>
      </c>
    </row>
    <row r="61" spans="1:26" s="28" customFormat="1" outlineLevel="1" collapsed="1" x14ac:dyDescent="0.3">
      <c r="A61" s="29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163.30000000000001</v>
      </c>
      <c r="E61" s="1"/>
      <c r="F61" s="5">
        <f t="shared" si="28"/>
        <v>2.2054772818957871E-4</v>
      </c>
      <c r="G61" s="1"/>
      <c r="H61" s="1">
        <f>SUM(OSRRefH22_5x_0)</f>
        <v>500</v>
      </c>
      <c r="I61" s="1"/>
      <c r="J61" s="5">
        <f t="shared" si="29"/>
        <v>3.5849129654830241E-4</v>
      </c>
      <c r="K61" s="1"/>
      <c r="L61" s="1">
        <f t="shared" si="30"/>
        <v>-336.7</v>
      </c>
      <c r="M61" s="1"/>
      <c r="N61" s="5">
        <f t="shared" si="31"/>
        <v>-0.6734</v>
      </c>
      <c r="O61" s="14"/>
      <c r="P61" s="1">
        <f>SUM(OSRRefP22_5x_0)</f>
        <v>295.97000000000003</v>
      </c>
      <c r="Q61" s="1"/>
      <c r="R61" s="5">
        <f t="shared" si="32"/>
        <v>3.7152714010967947E-4</v>
      </c>
      <c r="S61" s="1"/>
      <c r="T61" s="1">
        <f>SUM(OSRRefT22_5x_0)</f>
        <v>800</v>
      </c>
      <c r="U61" s="1"/>
      <c r="V61" s="5">
        <f t="shared" si="33"/>
        <v>5.4567765320411683E-4</v>
      </c>
      <c r="W61" s="1"/>
      <c r="X61" s="1">
        <f t="shared" si="34"/>
        <v>-504.03</v>
      </c>
      <c r="Y61" s="1"/>
      <c r="Z61" s="5">
        <f t="shared" si="35"/>
        <v>-0.63003749999999992</v>
      </c>
    </row>
    <row r="62" spans="1:26" s="24" customFormat="1" hidden="1" outlineLevel="2" x14ac:dyDescent="0.3">
      <c r="A62" s="27"/>
      <c r="B62" s="11" t="str">
        <f>CONCATENATE("          ", "6305", " - ", "FREIGHT OUT")</f>
        <v xml:space="preserve">          6305 - FREIGHT OUT</v>
      </c>
      <c r="C62" s="11"/>
      <c r="D62" s="6">
        <v>163.30000000000001</v>
      </c>
      <c r="E62" s="2"/>
      <c r="F62" s="7">
        <f t="shared" si="28"/>
        <v>2.2054772818957871E-4</v>
      </c>
      <c r="G62" s="2"/>
      <c r="H62" s="6">
        <v>500</v>
      </c>
      <c r="I62" s="2"/>
      <c r="J62" s="7">
        <f t="shared" si="29"/>
        <v>3.5849129654830241E-4</v>
      </c>
      <c r="K62" s="2"/>
      <c r="L62" s="6">
        <f t="shared" si="30"/>
        <v>-336.7</v>
      </c>
      <c r="M62" s="2"/>
      <c r="N62" s="7">
        <f t="shared" si="31"/>
        <v>-0.6734</v>
      </c>
      <c r="O62" s="11"/>
      <c r="P62" s="6">
        <v>295.97000000000003</v>
      </c>
      <c r="Q62" s="2"/>
      <c r="R62" s="7">
        <f t="shared" si="32"/>
        <v>3.7152714010967947E-4</v>
      </c>
      <c r="S62" s="2"/>
      <c r="T62" s="6">
        <v>800</v>
      </c>
      <c r="U62" s="2"/>
      <c r="V62" s="7">
        <f t="shared" si="33"/>
        <v>5.4567765320411683E-4</v>
      </c>
      <c r="W62" s="2"/>
      <c r="X62" s="6">
        <f t="shared" si="34"/>
        <v>-504.03</v>
      </c>
      <c r="Y62" s="2"/>
      <c r="Z62" s="7">
        <f t="shared" si="35"/>
        <v>-0.63003749999999992</v>
      </c>
    </row>
    <row r="63" spans="1:26" s="28" customFormat="1" outlineLevel="1" collapsed="1" x14ac:dyDescent="0.3">
      <c r="A63" s="29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125</v>
      </c>
      <c r="I63" s="1"/>
      <c r="J63" s="5">
        <f t="shared" si="29"/>
        <v>8.9622824137075604E-5</v>
      </c>
      <c r="K63" s="1"/>
      <c r="L63" s="1">
        <f t="shared" si="30"/>
        <v>-125</v>
      </c>
      <c r="M63" s="1"/>
      <c r="N63" s="5">
        <f t="shared" si="31"/>
        <v>-1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125</v>
      </c>
      <c r="U63" s="1"/>
      <c r="V63" s="5">
        <f t="shared" si="33"/>
        <v>8.5262133313143264E-5</v>
      </c>
      <c r="W63" s="1"/>
      <c r="X63" s="1">
        <f t="shared" si="34"/>
        <v>-125</v>
      </c>
      <c r="Y63" s="1"/>
      <c r="Z63" s="5">
        <f t="shared" si="35"/>
        <v>-1</v>
      </c>
    </row>
    <row r="64" spans="1:26" s="24" customFormat="1" hidden="1" outlineLevel="2" x14ac:dyDescent="0.3">
      <c r="A64" s="27"/>
      <c r="B64" s="11" t="str">
        <f>CONCATENATE("          ", "6279", " - ", "GENERAL EXPENSE")</f>
        <v xml:space="preserve">          6279 - GENERAL EXPENSE</v>
      </c>
      <c r="C64" s="11"/>
      <c r="D64" s="6"/>
      <c r="E64" s="2"/>
      <c r="F64" s="7">
        <f t="shared" si="28"/>
        <v>0</v>
      </c>
      <c r="G64" s="2"/>
      <c r="H64" s="6">
        <v>125</v>
      </c>
      <c r="I64" s="2"/>
      <c r="J64" s="7">
        <f t="shared" si="29"/>
        <v>8.9622824137075604E-5</v>
      </c>
      <c r="K64" s="2"/>
      <c r="L64" s="6">
        <f t="shared" si="30"/>
        <v>-125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125</v>
      </c>
      <c r="U64" s="2"/>
      <c r="V64" s="7">
        <f t="shared" si="33"/>
        <v>8.5262133313143264E-5</v>
      </c>
      <c r="W64" s="2"/>
      <c r="X64" s="6">
        <f t="shared" si="34"/>
        <v>-125</v>
      </c>
      <c r="Y64" s="2"/>
      <c r="Z64" s="7">
        <f t="shared" si="35"/>
        <v>-1</v>
      </c>
    </row>
    <row r="65" spans="1:26" s="28" customFormat="1" outlineLevel="1" collapsed="1" x14ac:dyDescent="0.3">
      <c r="A65" s="29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1000</v>
      </c>
      <c r="E65" s="1"/>
      <c r="F65" s="5">
        <f t="shared" si="28"/>
        <v>1.3505678394952767E-3</v>
      </c>
      <c r="G65" s="1"/>
      <c r="H65" s="1">
        <f>SUM(OSRRefH22_7x_0)</f>
        <v>1000</v>
      </c>
      <c r="I65" s="1"/>
      <c r="J65" s="5">
        <f t="shared" si="29"/>
        <v>7.1698259309660483E-4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2000</v>
      </c>
      <c r="Q65" s="1"/>
      <c r="R65" s="5">
        <f t="shared" si="32"/>
        <v>2.5105729642171805E-3</v>
      </c>
      <c r="S65" s="1"/>
      <c r="T65" s="1">
        <f>SUM(OSRRefT22_7x_0)</f>
        <v>2000</v>
      </c>
      <c r="U65" s="1"/>
      <c r="V65" s="5">
        <f t="shared" si="33"/>
        <v>1.3641941330102922E-3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3">
      <c r="A66" s="27"/>
      <c r="B66" s="11" t="str">
        <f>CONCATENATE("          ", "6408", " - ", "INVENTORY ADJUSTMENT")</f>
        <v xml:space="preserve">          6408 - INVENTORY ADJUSTMENT</v>
      </c>
      <c r="C66" s="11"/>
      <c r="D66" s="6">
        <v>1000</v>
      </c>
      <c r="E66" s="2"/>
      <c r="F66" s="7">
        <f t="shared" si="28"/>
        <v>1.3505678394952767E-3</v>
      </c>
      <c r="G66" s="2"/>
      <c r="H66" s="6">
        <v>1000</v>
      </c>
      <c r="I66" s="2"/>
      <c r="J66" s="7">
        <f t="shared" si="29"/>
        <v>7.1698259309660483E-4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2000</v>
      </c>
      <c r="Q66" s="2"/>
      <c r="R66" s="7">
        <f t="shared" si="32"/>
        <v>2.5105729642171805E-3</v>
      </c>
      <c r="S66" s="2"/>
      <c r="T66" s="6">
        <v>2000</v>
      </c>
      <c r="U66" s="2"/>
      <c r="V66" s="7">
        <f t="shared" si="33"/>
        <v>1.3641941330102922E-3</v>
      </c>
      <c r="W66" s="2"/>
      <c r="X66" s="6">
        <f t="shared" si="34"/>
        <v>0</v>
      </c>
      <c r="Y66" s="2"/>
      <c r="Z66" s="7">
        <f t="shared" si="35"/>
        <v>0</v>
      </c>
    </row>
    <row r="67" spans="1:26" s="28" customFormat="1" outlineLevel="1" collapsed="1" x14ac:dyDescent="0.3">
      <c r="A67" s="29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SUM(OSRRefD22_8x_0)</f>
        <v>0</v>
      </c>
      <c r="E67" s="1"/>
      <c r="F67" s="5">
        <f t="shared" si="28"/>
        <v>0</v>
      </c>
      <c r="G67" s="1"/>
      <c r="H67" s="1">
        <f>SUM(OSRRefH22_8x_0)</f>
        <v>80</v>
      </c>
      <c r="I67" s="1"/>
      <c r="J67" s="5">
        <f t="shared" si="29"/>
        <v>5.7358607447728384E-5</v>
      </c>
      <c r="K67" s="1"/>
      <c r="L67" s="1">
        <f t="shared" si="30"/>
        <v>-80</v>
      </c>
      <c r="M67" s="1"/>
      <c r="N67" s="5">
        <f t="shared" si="31"/>
        <v>-1</v>
      </c>
      <c r="O67" s="14"/>
      <c r="P67" s="1">
        <f>SUM(OSRRefP22_8x_0)</f>
        <v>2900.53</v>
      </c>
      <c r="Q67" s="1"/>
      <c r="R67" s="5">
        <f t="shared" si="32"/>
        <v>3.6409960999504295E-3</v>
      </c>
      <c r="S67" s="1"/>
      <c r="T67" s="1">
        <f>SUM(OSRRefT22_8x_0)</f>
        <v>160</v>
      </c>
      <c r="U67" s="1"/>
      <c r="V67" s="5">
        <f t="shared" si="33"/>
        <v>1.0913553064082337E-4</v>
      </c>
      <c r="W67" s="1"/>
      <c r="X67" s="1">
        <f t="shared" si="34"/>
        <v>2740.53</v>
      </c>
      <c r="Y67" s="1"/>
      <c r="Z67" s="5">
        <f t="shared" si="35"/>
        <v>17.1283125</v>
      </c>
    </row>
    <row r="68" spans="1:26" s="24" customFormat="1" hidden="1" outlineLevel="2" x14ac:dyDescent="0.3">
      <c r="A68" s="27"/>
      <c r="B68" s="11" t="str">
        <f>CONCATENATE("          ", "6371", " - ", "COMPUTER SOFTWARE MAINTENANCE")</f>
        <v xml:space="preserve">          6371 - COMPUTER SOFTWARE MAINTENANCE</v>
      </c>
      <c r="C68" s="11"/>
      <c r="D68" s="6">
        <v>0</v>
      </c>
      <c r="E68" s="2"/>
      <c r="F68" s="7">
        <f t="shared" si="28"/>
        <v>0</v>
      </c>
      <c r="G68" s="2"/>
      <c r="H68" s="6"/>
      <c r="I68" s="2"/>
      <c r="J68" s="7">
        <f t="shared" si="29"/>
        <v>0</v>
      </c>
      <c r="K68" s="2"/>
      <c r="L68" s="6">
        <f t="shared" si="30"/>
        <v>0</v>
      </c>
      <c r="M68" s="2"/>
      <c r="N68" s="7">
        <f t="shared" si="31"/>
        <v>0</v>
      </c>
      <c r="O68" s="11"/>
      <c r="P68" s="6">
        <v>2887.5</v>
      </c>
      <c r="Q68" s="2"/>
      <c r="R68" s="7">
        <f t="shared" si="32"/>
        <v>3.6246397170885541E-3</v>
      </c>
      <c r="S68" s="2"/>
      <c r="T68" s="6"/>
      <c r="U68" s="2"/>
      <c r="V68" s="7">
        <f t="shared" si="33"/>
        <v>0</v>
      </c>
      <c r="W68" s="2"/>
      <c r="X68" s="6">
        <f t="shared" si="34"/>
        <v>2887.5</v>
      </c>
      <c r="Y68" s="2"/>
      <c r="Z68" s="7">
        <f t="shared" si="35"/>
        <v>0</v>
      </c>
    </row>
    <row r="69" spans="1:26" s="24" customFormat="1" hidden="1" outlineLevel="2" x14ac:dyDescent="0.3">
      <c r="A69" s="27"/>
      <c r="B69" s="11" t="str">
        <f>CONCATENATE("          ", "6373", " - ", "MAINTENANCE CONTRACTS")</f>
        <v xml:space="preserve">          6373 - MAINTENANCE CONTRACTS</v>
      </c>
      <c r="C69" s="11"/>
      <c r="D69" s="6"/>
      <c r="E69" s="2"/>
      <c r="F69" s="7">
        <f t="shared" si="28"/>
        <v>0</v>
      </c>
      <c r="G69" s="2"/>
      <c r="H69" s="6">
        <v>40</v>
      </c>
      <c r="I69" s="2"/>
      <c r="J69" s="7">
        <f t="shared" si="29"/>
        <v>2.8679303723864192E-5</v>
      </c>
      <c r="K69" s="2"/>
      <c r="L69" s="6">
        <f t="shared" si="30"/>
        <v>-40</v>
      </c>
      <c r="M69" s="2"/>
      <c r="N69" s="7">
        <f t="shared" si="31"/>
        <v>-1</v>
      </c>
      <c r="O69" s="11"/>
      <c r="P69" s="6">
        <v>13.03</v>
      </c>
      <c r="Q69" s="2"/>
      <c r="R69" s="7">
        <f t="shared" si="32"/>
        <v>1.6356382861874928E-5</v>
      </c>
      <c r="S69" s="2"/>
      <c r="T69" s="6">
        <v>80</v>
      </c>
      <c r="U69" s="2"/>
      <c r="V69" s="7">
        <f t="shared" si="33"/>
        <v>5.4567765320411687E-5</v>
      </c>
      <c r="W69" s="2"/>
      <c r="X69" s="6">
        <f t="shared" si="34"/>
        <v>-66.97</v>
      </c>
      <c r="Y69" s="2"/>
      <c r="Z69" s="7">
        <f t="shared" si="35"/>
        <v>-0.83712500000000001</v>
      </c>
    </row>
    <row r="70" spans="1:26" s="24" customFormat="1" hidden="1" outlineLevel="2" x14ac:dyDescent="0.3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6"/>
      <c r="E70" s="2"/>
      <c r="F70" s="7">
        <f t="shared" si="28"/>
        <v>0</v>
      </c>
      <c r="G70" s="2"/>
      <c r="H70" s="6">
        <v>40</v>
      </c>
      <c r="I70" s="2"/>
      <c r="J70" s="7">
        <f t="shared" si="29"/>
        <v>2.8679303723864192E-5</v>
      </c>
      <c r="K70" s="2"/>
      <c r="L70" s="6">
        <f t="shared" si="30"/>
        <v>-40</v>
      </c>
      <c r="M70" s="2"/>
      <c r="N70" s="7">
        <f t="shared" si="31"/>
        <v>-1</v>
      </c>
      <c r="O70" s="11"/>
      <c r="P70" s="6"/>
      <c r="Q70" s="2"/>
      <c r="R70" s="7">
        <f t="shared" si="32"/>
        <v>0</v>
      </c>
      <c r="S70" s="2"/>
      <c r="T70" s="6">
        <v>80</v>
      </c>
      <c r="U70" s="2"/>
      <c r="V70" s="7">
        <f t="shared" si="33"/>
        <v>5.4567765320411687E-5</v>
      </c>
      <c r="W70" s="2"/>
      <c r="X70" s="6">
        <f t="shared" si="34"/>
        <v>-80</v>
      </c>
      <c r="Y70" s="2"/>
      <c r="Z70" s="7">
        <f t="shared" si="35"/>
        <v>-1</v>
      </c>
    </row>
    <row r="71" spans="1:26" s="28" customFormat="1" outlineLevel="1" collapsed="1" x14ac:dyDescent="0.3">
      <c r="A71" s="29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SUM(OSRRefD22_9x_0)</f>
        <v>57</v>
      </c>
      <c r="E71" s="1"/>
      <c r="F71" s="5">
        <f t="shared" ref="F71:F75" si="36">IF(D$12=0,0,D71/D$12)</f>
        <v>7.6982366851230779E-5</v>
      </c>
      <c r="G71" s="1"/>
      <c r="H71" s="1">
        <f>SUM(OSRRefH22_9x_0)</f>
        <v>300</v>
      </c>
      <c r="I71" s="1"/>
      <c r="J71" s="5">
        <f t="shared" ref="J71:J75" si="37">IF(H$12=0,0,H71/H$12)</f>
        <v>2.1509477792898144E-4</v>
      </c>
      <c r="K71" s="1"/>
      <c r="L71" s="1">
        <f t="shared" ref="L71:L75" si="38">+D71-H71</f>
        <v>-243</v>
      </c>
      <c r="M71" s="1"/>
      <c r="N71" s="5">
        <f t="shared" ref="N71:N75" si="39">IF(H71=0,0,L71/H71)</f>
        <v>-0.81</v>
      </c>
      <c r="O71" s="14"/>
      <c r="P71" s="1">
        <f>SUM(OSRRefP22_9x_0)</f>
        <v>125.32</v>
      </c>
      <c r="Q71" s="1"/>
      <c r="R71" s="5">
        <f t="shared" ref="R71:R75" si="40">IF(P$12=0,0,P71/P$12)</f>
        <v>1.5731250193784852E-4</v>
      </c>
      <c r="S71" s="1"/>
      <c r="T71" s="1">
        <f>SUM(OSRRefT22_9x_0)</f>
        <v>600</v>
      </c>
      <c r="U71" s="1"/>
      <c r="V71" s="5">
        <f t="shared" ref="V71:V75" si="41">IF(T$12=0,0,T71/T$12)</f>
        <v>4.0925823990308765E-4</v>
      </c>
      <c r="W71" s="1"/>
      <c r="X71" s="1">
        <f t="shared" ref="X71:X75" si="42">+P71-T71</f>
        <v>-474.68</v>
      </c>
      <c r="Y71" s="1"/>
      <c r="Z71" s="5">
        <f t="shared" ref="Z71:Z75" si="43">IF(T71=0,0,X71/T71)</f>
        <v>-0.79113333333333336</v>
      </c>
    </row>
    <row r="72" spans="1:26" s="24" customFormat="1" hidden="1" outlineLevel="2" x14ac:dyDescent="0.3">
      <c r="A72" s="27"/>
      <c r="B72" s="11" t="str">
        <f>CONCATENATE("          ", "6258", " - ", "MEMBERSHIP DUES")</f>
        <v xml:space="preserve">          6258 - MEMBERSHIP DUES</v>
      </c>
      <c r="C72" s="11"/>
      <c r="D72" s="6">
        <v>57</v>
      </c>
      <c r="E72" s="2"/>
      <c r="F72" s="7">
        <f t="shared" si="36"/>
        <v>7.6982366851230779E-5</v>
      </c>
      <c r="G72" s="2"/>
      <c r="H72" s="6">
        <v>300</v>
      </c>
      <c r="I72" s="2"/>
      <c r="J72" s="7">
        <f t="shared" si="37"/>
        <v>2.1509477792898144E-4</v>
      </c>
      <c r="K72" s="2"/>
      <c r="L72" s="6">
        <f t="shared" si="38"/>
        <v>-243</v>
      </c>
      <c r="M72" s="2"/>
      <c r="N72" s="7">
        <f t="shared" si="39"/>
        <v>-0.81</v>
      </c>
      <c r="O72" s="11"/>
      <c r="P72" s="6">
        <v>125.32</v>
      </c>
      <c r="Q72" s="2"/>
      <c r="R72" s="7">
        <f t="shared" si="40"/>
        <v>1.5731250193784852E-4</v>
      </c>
      <c r="S72" s="2"/>
      <c r="T72" s="6">
        <v>600</v>
      </c>
      <c r="U72" s="2"/>
      <c r="V72" s="7">
        <f t="shared" si="41"/>
        <v>4.0925823990308765E-4</v>
      </c>
      <c r="W72" s="2"/>
      <c r="X72" s="6">
        <f t="shared" si="42"/>
        <v>-474.68</v>
      </c>
      <c r="Y72" s="2"/>
      <c r="Z72" s="7">
        <f t="shared" si="43"/>
        <v>-0.79113333333333336</v>
      </c>
    </row>
    <row r="73" spans="1:26" s="28" customFormat="1" outlineLevel="1" collapsed="1" x14ac:dyDescent="0.3">
      <c r="A73" s="29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SUM(OSRRefD22_10x_0)</f>
        <v>485.61</v>
      </c>
      <c r="E73" s="1"/>
      <c r="F73" s="5">
        <f t="shared" si="36"/>
        <v>6.5584924853730132E-4</v>
      </c>
      <c r="G73" s="1"/>
      <c r="H73" s="1">
        <f>SUM(OSRRefH22_10x_0)</f>
        <v>1000</v>
      </c>
      <c r="I73" s="1"/>
      <c r="J73" s="5">
        <f t="shared" si="37"/>
        <v>7.1698259309660483E-4</v>
      </c>
      <c r="K73" s="1"/>
      <c r="L73" s="1">
        <f t="shared" si="38"/>
        <v>-514.39</v>
      </c>
      <c r="M73" s="1"/>
      <c r="N73" s="5">
        <f t="shared" si="39"/>
        <v>-0.51439000000000001</v>
      </c>
      <c r="O73" s="14"/>
      <c r="P73" s="1">
        <f>SUM(OSRRefP22_10x_0)</f>
        <v>601.35</v>
      </c>
      <c r="Q73" s="1"/>
      <c r="R73" s="5">
        <f t="shared" si="40"/>
        <v>7.548665260160007E-4</v>
      </c>
      <c r="S73" s="1"/>
      <c r="T73" s="1">
        <f>SUM(OSRRefT22_10x_0)</f>
        <v>1700</v>
      </c>
      <c r="U73" s="1"/>
      <c r="V73" s="5">
        <f t="shared" si="41"/>
        <v>1.1595650130587483E-3</v>
      </c>
      <c r="W73" s="1"/>
      <c r="X73" s="1">
        <f t="shared" si="42"/>
        <v>-1098.6500000000001</v>
      </c>
      <c r="Y73" s="1"/>
      <c r="Z73" s="5">
        <f t="shared" si="43"/>
        <v>-0.64626470588235296</v>
      </c>
    </row>
    <row r="74" spans="1:26" s="24" customFormat="1" hidden="1" outlineLevel="2" x14ac:dyDescent="0.3">
      <c r="A74" s="27"/>
      <c r="B74" s="11" t="str">
        <f>CONCATENATE("          ", "6241", " - ", "OFFICE EXPENSE")</f>
        <v xml:space="preserve">          6241 - OFFICE EXPENSE</v>
      </c>
      <c r="C74" s="11"/>
      <c r="D74" s="6">
        <v>485.61</v>
      </c>
      <c r="E74" s="2"/>
      <c r="F74" s="7">
        <f t="shared" si="36"/>
        <v>6.5584924853730132E-4</v>
      </c>
      <c r="G74" s="2"/>
      <c r="H74" s="6">
        <v>600</v>
      </c>
      <c r="I74" s="2"/>
      <c r="J74" s="7">
        <f t="shared" si="37"/>
        <v>4.3018955585796289E-4</v>
      </c>
      <c r="K74" s="2"/>
      <c r="L74" s="6">
        <f t="shared" si="38"/>
        <v>-114.38999999999999</v>
      </c>
      <c r="M74" s="2"/>
      <c r="N74" s="7">
        <f t="shared" si="39"/>
        <v>-0.19064999999999999</v>
      </c>
      <c r="O74" s="11"/>
      <c r="P74" s="6">
        <v>601.35</v>
      </c>
      <c r="Q74" s="2"/>
      <c r="R74" s="7">
        <f t="shared" si="40"/>
        <v>7.548665260160007E-4</v>
      </c>
      <c r="S74" s="2"/>
      <c r="T74" s="6">
        <v>900</v>
      </c>
      <c r="U74" s="2"/>
      <c r="V74" s="7">
        <f t="shared" si="41"/>
        <v>6.1388735985463147E-4</v>
      </c>
      <c r="W74" s="2"/>
      <c r="X74" s="6">
        <f t="shared" si="42"/>
        <v>-298.64999999999998</v>
      </c>
      <c r="Y74" s="2"/>
      <c r="Z74" s="7">
        <f t="shared" si="43"/>
        <v>-0.33183333333333331</v>
      </c>
    </row>
    <row r="75" spans="1:26" s="24" customFormat="1" hidden="1" outlineLevel="2" x14ac:dyDescent="0.3">
      <c r="A75" s="27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36"/>
        <v>0</v>
      </c>
      <c r="G75" s="2"/>
      <c r="H75" s="6">
        <v>400</v>
      </c>
      <c r="I75" s="2"/>
      <c r="J75" s="7">
        <f t="shared" si="37"/>
        <v>2.8679303723864194E-4</v>
      </c>
      <c r="K75" s="2"/>
      <c r="L75" s="6">
        <f t="shared" si="38"/>
        <v>-400</v>
      </c>
      <c r="M75" s="2"/>
      <c r="N75" s="7">
        <f t="shared" si="39"/>
        <v>-1</v>
      </c>
      <c r="O75" s="11"/>
      <c r="P75" s="6"/>
      <c r="Q75" s="2"/>
      <c r="R75" s="7">
        <f t="shared" si="40"/>
        <v>0</v>
      </c>
      <c r="S75" s="2"/>
      <c r="T75" s="6">
        <v>800</v>
      </c>
      <c r="U75" s="2"/>
      <c r="V75" s="7">
        <f t="shared" si="41"/>
        <v>5.4567765320411683E-4</v>
      </c>
      <c r="W75" s="2"/>
      <c r="X75" s="6">
        <f t="shared" si="42"/>
        <v>-800</v>
      </c>
      <c r="Y75" s="2"/>
      <c r="Z75" s="7">
        <f t="shared" si="43"/>
        <v>-1</v>
      </c>
    </row>
    <row r="76" spans="1:26" s="28" customFormat="1" outlineLevel="1" collapsed="1" x14ac:dyDescent="0.3">
      <c r="A76" s="29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SUM(OSRRefD22_11x_0)</f>
        <v>820.9</v>
      </c>
      <c r="E76" s="1"/>
      <c r="F76" s="5">
        <f t="shared" ref="F76:F78" si="44">IF(D$12=0,0,D76/D$12)</f>
        <v>1.1086811394416727E-3</v>
      </c>
      <c r="G76" s="1"/>
      <c r="H76" s="1">
        <f>SUM(OSRRefH22_11x_0)</f>
        <v>600</v>
      </c>
      <c r="I76" s="1"/>
      <c r="J76" s="5">
        <f t="shared" ref="J76:J78" si="45">IF(H$12=0,0,H76/H$12)</f>
        <v>4.3018955585796289E-4</v>
      </c>
      <c r="K76" s="1"/>
      <c r="L76" s="1">
        <f t="shared" ref="L76:L78" si="46">+D76-H76</f>
        <v>220.89999999999998</v>
      </c>
      <c r="M76" s="1"/>
      <c r="N76" s="5">
        <f t="shared" ref="N76:N78" si="47">IF(H76=0,0,L76/H76)</f>
        <v>0.36816666666666664</v>
      </c>
      <c r="O76" s="14"/>
      <c r="P76" s="1">
        <f>SUM(OSRRefP22_11x_0)</f>
        <v>1428.3</v>
      </c>
      <c r="Q76" s="1"/>
      <c r="R76" s="5">
        <f t="shared" ref="R76:R78" si="48">IF(P$12=0,0,P76/P$12)</f>
        <v>1.7929256823956993E-3</v>
      </c>
      <c r="S76" s="1"/>
      <c r="T76" s="1">
        <f>SUM(OSRRefT22_11x_0)</f>
        <v>950</v>
      </c>
      <c r="U76" s="1"/>
      <c r="V76" s="5">
        <f t="shared" ref="V76:V78" si="49">IF(T$12=0,0,T76/T$12)</f>
        <v>6.4799221317988879E-4</v>
      </c>
      <c r="W76" s="1"/>
      <c r="X76" s="1">
        <f t="shared" ref="X76:X78" si="50">+P76-T76</f>
        <v>478.29999999999995</v>
      </c>
      <c r="Y76" s="1"/>
      <c r="Z76" s="5">
        <f t="shared" ref="Z76:Z78" si="51">IF(T76=0,0,X76/T76)</f>
        <v>0.5034736842105263</v>
      </c>
    </row>
    <row r="77" spans="1:26" s="24" customFormat="1" hidden="1" outlineLevel="2" x14ac:dyDescent="0.3">
      <c r="A77" s="27"/>
      <c r="B77" s="11" t="str">
        <f>CONCATENATE("          ", "6303", " - ", "DATA PHONE LINES")</f>
        <v xml:space="preserve">          6303 - DATA PHONE LINES</v>
      </c>
      <c r="C77" s="11"/>
      <c r="D77" s="6"/>
      <c r="E77" s="2"/>
      <c r="F77" s="7">
        <f t="shared" si="44"/>
        <v>0</v>
      </c>
      <c r="G77" s="2"/>
      <c r="H77" s="6">
        <v>0</v>
      </c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>
        <v>295</v>
      </c>
      <c r="Q77" s="2"/>
      <c r="R77" s="7">
        <f t="shared" si="48"/>
        <v>3.7030951222203414E-4</v>
      </c>
      <c r="S77" s="2"/>
      <c r="T77" s="6">
        <v>0</v>
      </c>
      <c r="U77" s="2"/>
      <c r="V77" s="7">
        <f t="shared" si="49"/>
        <v>0</v>
      </c>
      <c r="W77" s="2"/>
      <c r="X77" s="6">
        <f t="shared" si="50"/>
        <v>295</v>
      </c>
      <c r="Y77" s="2"/>
      <c r="Z77" s="7">
        <f t="shared" si="51"/>
        <v>0</v>
      </c>
    </row>
    <row r="78" spans="1:26" s="24" customFormat="1" hidden="1" outlineLevel="2" x14ac:dyDescent="0.3">
      <c r="A78" s="27"/>
      <c r="B78" s="11" t="str">
        <f>CONCATENATE("          ", "6309", " - ", "TELEPHONE")</f>
        <v xml:space="preserve">          6309 - TELEPHONE</v>
      </c>
      <c r="C78" s="11"/>
      <c r="D78" s="6">
        <v>820.9</v>
      </c>
      <c r="E78" s="2"/>
      <c r="F78" s="7">
        <f t="shared" si="44"/>
        <v>1.1086811394416727E-3</v>
      </c>
      <c r="G78" s="2"/>
      <c r="H78" s="6">
        <v>600</v>
      </c>
      <c r="I78" s="2"/>
      <c r="J78" s="7">
        <f t="shared" si="45"/>
        <v>4.3018955585796289E-4</v>
      </c>
      <c r="K78" s="2"/>
      <c r="L78" s="6">
        <f t="shared" si="46"/>
        <v>220.89999999999998</v>
      </c>
      <c r="M78" s="2"/>
      <c r="N78" s="7">
        <f t="shared" si="47"/>
        <v>0.36816666666666664</v>
      </c>
      <c r="O78" s="11"/>
      <c r="P78" s="6">
        <v>1133.3</v>
      </c>
      <c r="Q78" s="2"/>
      <c r="R78" s="7">
        <f t="shared" si="48"/>
        <v>1.4226161701736653E-3</v>
      </c>
      <c r="S78" s="2"/>
      <c r="T78" s="6">
        <v>950</v>
      </c>
      <c r="U78" s="2"/>
      <c r="V78" s="7">
        <f t="shared" si="49"/>
        <v>6.4799221317988879E-4</v>
      </c>
      <c r="W78" s="2"/>
      <c r="X78" s="6">
        <f t="shared" si="50"/>
        <v>183.29999999999995</v>
      </c>
      <c r="Y78" s="2"/>
      <c r="Z78" s="7">
        <f t="shared" si="51"/>
        <v>0.19294736842105259</v>
      </c>
    </row>
    <row r="79" spans="1:26" s="53" customFormat="1" x14ac:dyDescent="0.3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3">
      <c r="A80" s="10"/>
      <c r="B80" s="25" t="s">
        <v>293</v>
      </c>
      <c r="C80" s="10"/>
      <c r="D80" s="4">
        <f>SUM(OSRRefD25x_0)</f>
        <v>28343.090000000004</v>
      </c>
      <c r="E80" s="4"/>
      <c r="F80" s="12">
        <f t="shared" ref="F80:F84" si="52">IF(D$12=0,0,D80/D$12)</f>
        <v>3.8279265825920186E-2</v>
      </c>
      <c r="G80" s="4"/>
      <c r="H80" s="4">
        <f>SUM(OSRRefH25x_0)</f>
        <v>2184</v>
      </c>
      <c r="I80" s="4"/>
      <c r="J80" s="12">
        <f t="shared" ref="J80:J84" si="53">IF(H$12=0,0,H80/H$12)</f>
        <v>1.5658899833229849E-3</v>
      </c>
      <c r="K80" s="4"/>
      <c r="L80" s="4">
        <f t="shared" ref="L80:L84" si="54">+D80-H80</f>
        <v>26159.090000000004</v>
      </c>
      <c r="M80" s="4"/>
      <c r="N80" s="12">
        <f t="shared" ref="N80:N84" si="55">IF(H80=0,0,L80/H80)</f>
        <v>11.977605311355314</v>
      </c>
      <c r="O80" s="10"/>
      <c r="P80" s="4">
        <f>SUM(OSRRefP25x_0)</f>
        <v>28975.03</v>
      </c>
      <c r="Q80" s="4"/>
      <c r="R80" s="12">
        <f t="shared" ref="R80:R84" si="56">IF(P$12=0,0,P80/P$12)</f>
        <v>3.6371963477690866E-2</v>
      </c>
      <c r="S80" s="4"/>
      <c r="T80" s="4">
        <f>SUM(OSRRefT25x_0)</f>
        <v>4560</v>
      </c>
      <c r="U80" s="4"/>
      <c r="V80" s="12">
        <f t="shared" ref="V80:V84" si="57">IF(T$12=0,0,T80/T$12)</f>
        <v>3.1103626232634662E-3</v>
      </c>
      <c r="W80" s="4"/>
      <c r="X80" s="4">
        <f t="shared" ref="X80:X84" si="58">+P80-T80</f>
        <v>24415.03</v>
      </c>
      <c r="Y80" s="4"/>
      <c r="Z80" s="12">
        <f t="shared" ref="Z80:Z84" si="59">IF(T80=0,0,X80/T80)</f>
        <v>5.3541732456140352</v>
      </c>
    </row>
    <row r="81" spans="1:26" s="24" customFormat="1" hidden="1" outlineLevel="1" x14ac:dyDescent="0.3">
      <c r="A81" s="44"/>
      <c r="B81" s="11" t="str">
        <f>CONCATENATE("          ", "9150", " - ", "MISC. INCOME")</f>
        <v xml:space="preserve">          9150 - MISC. INCOME</v>
      </c>
      <c r="C81" s="11"/>
      <c r="D81" s="2">
        <f>--15850.62</f>
        <v>15850.62</v>
      </c>
      <c r="E81" s="2"/>
      <c r="F81" s="19">
        <f t="shared" si="52"/>
        <v>2.1407337608060625E-2</v>
      </c>
      <c r="G81" s="2"/>
      <c r="H81" s="2">
        <v>2184</v>
      </c>
      <c r="I81" s="2"/>
      <c r="J81" s="19">
        <f t="shared" si="53"/>
        <v>1.5658899833229849E-3</v>
      </c>
      <c r="K81" s="2"/>
      <c r="L81" s="2">
        <f t="shared" si="54"/>
        <v>13666.62</v>
      </c>
      <c r="M81" s="2"/>
      <c r="N81" s="19">
        <f t="shared" si="55"/>
        <v>6.2576098901098902</v>
      </c>
      <c r="O81" s="11"/>
      <c r="P81" s="2">
        <f>--16415.64</f>
        <v>16415.64</v>
      </c>
      <c r="Q81" s="2"/>
      <c r="R81" s="19">
        <f t="shared" si="56"/>
        <v>2.0606330987161057E-2</v>
      </c>
      <c r="S81" s="2"/>
      <c r="T81" s="2">
        <v>4560</v>
      </c>
      <c r="U81" s="2"/>
      <c r="V81" s="19">
        <f t="shared" si="57"/>
        <v>3.1103626232634662E-3</v>
      </c>
      <c r="W81" s="2"/>
      <c r="X81" s="2">
        <f t="shared" si="58"/>
        <v>11855.64</v>
      </c>
      <c r="Y81" s="2"/>
      <c r="Z81" s="19">
        <f t="shared" si="59"/>
        <v>2.5999210526315788</v>
      </c>
    </row>
    <row r="82" spans="1:26" s="24" customFormat="1" hidden="1" outlineLevel="1" x14ac:dyDescent="0.3">
      <c r="A82" s="44"/>
      <c r="B82" s="11" t="str">
        <f>CONCATENATE("          ", "9151", " - ", "MISC. INCOME")</f>
        <v xml:space="preserve">          9151 - MISC. INCOME</v>
      </c>
      <c r="C82" s="11"/>
      <c r="D82" s="2">
        <f>--11556.36</f>
        <v>11556.36</v>
      </c>
      <c r="E82" s="2"/>
      <c r="F82" s="19">
        <f t="shared" si="52"/>
        <v>1.5607648157629637E-2</v>
      </c>
      <c r="G82" s="2"/>
      <c r="H82" s="2"/>
      <c r="I82" s="2"/>
      <c r="J82" s="19">
        <f t="shared" si="53"/>
        <v>0</v>
      </c>
      <c r="K82" s="2"/>
      <c r="L82" s="2">
        <f t="shared" si="54"/>
        <v>11556.36</v>
      </c>
      <c r="M82" s="2"/>
      <c r="N82" s="19">
        <f t="shared" si="55"/>
        <v>0</v>
      </c>
      <c r="O82" s="11"/>
      <c r="P82" s="2">
        <f>--11556.36</f>
        <v>11556.36</v>
      </c>
      <c r="Q82" s="2"/>
      <c r="R82" s="19">
        <f t="shared" si="56"/>
        <v>1.4506542490380428E-2</v>
      </c>
      <c r="S82" s="2"/>
      <c r="T82" s="2"/>
      <c r="U82" s="2"/>
      <c r="V82" s="19">
        <f t="shared" si="57"/>
        <v>0</v>
      </c>
      <c r="W82" s="2"/>
      <c r="X82" s="2">
        <f t="shared" si="58"/>
        <v>11556.36</v>
      </c>
      <c r="Y82" s="2"/>
      <c r="Z82" s="19">
        <f t="shared" si="59"/>
        <v>0</v>
      </c>
    </row>
    <row r="83" spans="1:26" s="24" customFormat="1" hidden="1" outlineLevel="1" x14ac:dyDescent="0.3">
      <c r="A83" s="44"/>
      <c r="B83" s="11" t="str">
        <f>CONCATENATE("          ", "9152", " - ", "MISC. INCOME")</f>
        <v xml:space="preserve">          9152 - MISC. INCOME</v>
      </c>
      <c r="C83" s="11"/>
      <c r="D83" s="2">
        <f>--936.11</f>
        <v>936.11</v>
      </c>
      <c r="E83" s="2"/>
      <c r="F83" s="19">
        <f t="shared" si="52"/>
        <v>1.2642800602299235E-3</v>
      </c>
      <c r="G83" s="2"/>
      <c r="H83" s="2"/>
      <c r="I83" s="2"/>
      <c r="J83" s="19">
        <f t="shared" si="53"/>
        <v>0</v>
      </c>
      <c r="K83" s="2"/>
      <c r="L83" s="2">
        <f t="shared" si="54"/>
        <v>936.11</v>
      </c>
      <c r="M83" s="2"/>
      <c r="N83" s="19">
        <f t="shared" si="55"/>
        <v>0</v>
      </c>
      <c r="O83" s="11"/>
      <c r="P83" s="2">
        <f>--1003.03</f>
        <v>1003.03</v>
      </c>
      <c r="Q83" s="2"/>
      <c r="R83" s="19">
        <f t="shared" si="56"/>
        <v>1.2590900001493792E-3</v>
      </c>
      <c r="S83" s="2"/>
      <c r="T83" s="2"/>
      <c r="U83" s="2"/>
      <c r="V83" s="19">
        <f t="shared" si="57"/>
        <v>0</v>
      </c>
      <c r="W83" s="2"/>
      <c r="X83" s="2">
        <f t="shared" si="58"/>
        <v>1003.03</v>
      </c>
      <c r="Y83" s="2"/>
      <c r="Z83" s="19">
        <f t="shared" si="59"/>
        <v>0</v>
      </c>
    </row>
    <row r="84" spans="1:26" s="24" customFormat="1" hidden="1" outlineLevel="1" x14ac:dyDescent="0.3">
      <c r="A84" s="44"/>
      <c r="B84" s="11" t="str">
        <f>CONCATENATE("          ", "9160", " - ", "MISC. INCOME")</f>
        <v xml:space="preserve">          9160 - MISC. INCOME</v>
      </c>
      <c r="C84" s="11"/>
      <c r="D84" s="2">
        <f>0</f>
        <v>0</v>
      </c>
      <c r="E84" s="2"/>
      <c r="F84" s="19">
        <f t="shared" si="52"/>
        <v>0</v>
      </c>
      <c r="G84" s="2"/>
      <c r="H84" s="2">
        <v>0</v>
      </c>
      <c r="I84" s="2"/>
      <c r="J84" s="19">
        <f t="shared" si="53"/>
        <v>0</v>
      </c>
      <c r="K84" s="2"/>
      <c r="L84" s="2">
        <f t="shared" si="54"/>
        <v>0</v>
      </c>
      <c r="M84" s="2"/>
      <c r="N84" s="19">
        <f t="shared" si="55"/>
        <v>0</v>
      </c>
      <c r="O84" s="11"/>
      <c r="P84" s="2">
        <f>0</f>
        <v>0</v>
      </c>
      <c r="Q84" s="2"/>
      <c r="R84" s="19">
        <f t="shared" si="56"/>
        <v>0</v>
      </c>
      <c r="S84" s="2"/>
      <c r="T84" s="2">
        <v>0</v>
      </c>
      <c r="U84" s="2"/>
      <c r="V84" s="19">
        <f t="shared" si="57"/>
        <v>0</v>
      </c>
      <c r="W84" s="2"/>
      <c r="X84" s="2">
        <f t="shared" si="58"/>
        <v>0</v>
      </c>
      <c r="Y84" s="2"/>
      <c r="Z84" s="19">
        <f t="shared" si="59"/>
        <v>0</v>
      </c>
    </row>
    <row r="85" spans="1:26" x14ac:dyDescent="0.3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10"/>
      <c r="B86" s="26" t="s">
        <v>277</v>
      </c>
      <c r="C86" s="26"/>
      <c r="D86" s="21">
        <f>+D30-D32+D80</f>
        <v>116110.72999999995</v>
      </c>
      <c r="E86" s="13"/>
      <c r="F86" s="20">
        <f>IF(D$12=0,0,D86/D$12)</f>
        <v>0.15681541775831934</v>
      </c>
      <c r="G86" s="13"/>
      <c r="H86" s="21">
        <f>+H30-H32+H80</f>
        <v>324349.53746101027</v>
      </c>
      <c r="I86" s="13"/>
      <c r="J86" s="20">
        <f>IF(H$12=0,0,H86/H$12)</f>
        <v>0.2325529724384795</v>
      </c>
      <c r="K86" s="16"/>
      <c r="L86" s="21">
        <f>+D86-H86</f>
        <v>-208238.80746101032</v>
      </c>
      <c r="M86" s="16"/>
      <c r="N86" s="20">
        <f>IF(H86=0,0,L86/H86)</f>
        <v>-0.64201974539902806</v>
      </c>
      <c r="O86" s="25"/>
      <c r="P86" s="21">
        <f>+P30-P32+P80</f>
        <v>81111.810000000056</v>
      </c>
      <c r="Q86" s="13"/>
      <c r="R86" s="20">
        <f>IF(P$12=0,0,P86/P$12)</f>
        <v>0.10181855863236045</v>
      </c>
      <c r="S86" s="13"/>
      <c r="T86" s="21">
        <f>+T30-T32+T80</f>
        <v>291816.12389227306</v>
      </c>
      <c r="U86" s="13"/>
      <c r="V86" s="20">
        <f>IF(T$12=0,0,T86/T$12)</f>
        <v>0.19904692206582172</v>
      </c>
      <c r="W86" s="16"/>
      <c r="X86" s="21">
        <f>+P86-T86</f>
        <v>-210704.313892273</v>
      </c>
      <c r="Y86" s="16"/>
      <c r="Z86" s="20">
        <f>IF(T86=0,0,X86/T86)</f>
        <v>-0.72204479684630685</v>
      </c>
    </row>
    <row r="87" spans="1:26" x14ac:dyDescent="0.3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52"/>
      <c r="B88" s="10" t="s">
        <v>128</v>
      </c>
      <c r="C88" s="10"/>
      <c r="D88" s="4">
        <v>93078.07</v>
      </c>
      <c r="E88" s="4"/>
      <c r="F88" s="12">
        <f>IF(D$12=0,0,D88/D$12)</f>
        <v>0.12570824790429014</v>
      </c>
      <c r="G88" s="4"/>
      <c r="H88" s="4">
        <v>138357</v>
      </c>
      <c r="I88" s="4"/>
      <c r="J88" s="12">
        <f>IF(H$12=0,0,H88/H$12)</f>
        <v>9.9199560633066952E-2</v>
      </c>
      <c r="K88" s="4"/>
      <c r="L88" s="4">
        <f>+D88-H88</f>
        <v>-45278.929999999993</v>
      </c>
      <c r="M88" s="4"/>
      <c r="N88" s="12">
        <f>IF(H88=0,0,L88/H88)</f>
        <v>-0.32726157693503033</v>
      </c>
      <c r="O88" s="10"/>
      <c r="P88" s="4">
        <v>119042.98</v>
      </c>
      <c r="Q88" s="4"/>
      <c r="R88" s="12">
        <f>IF(P$12=0,0,P88/P$12)</f>
        <v>0.14943304358392326</v>
      </c>
      <c r="S88" s="4"/>
      <c r="T88" s="4">
        <v>164190</v>
      </c>
      <c r="U88" s="4"/>
      <c r="V88" s="12">
        <f>IF(T$12=0,0,T88/T$12)</f>
        <v>0.11199351734947993</v>
      </c>
      <c r="W88" s="4"/>
      <c r="X88" s="4">
        <f>+P88-T88</f>
        <v>-45147.020000000004</v>
      </c>
      <c r="Y88" s="4"/>
      <c r="Z88" s="12">
        <f>IF(T88=0,0,X88/T88)</f>
        <v>-0.27496814665935809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35">
      <c r="A90" s="10"/>
      <c r="B90" s="26" t="s">
        <v>126</v>
      </c>
      <c r="C90" s="26"/>
      <c r="D90" s="30">
        <f>+D86-D88</f>
        <v>23032.659999999945</v>
      </c>
      <c r="E90" s="13"/>
      <c r="F90" s="35">
        <f>IF(D$12=0,0,D90/D$12)</f>
        <v>3.1107169854029205E-2</v>
      </c>
      <c r="G90" s="13"/>
      <c r="H90" s="30">
        <f>+H86-H88</f>
        <v>185992.53746101027</v>
      </c>
      <c r="I90" s="13"/>
      <c r="J90" s="35">
        <f>IF(H$12=0,0,H90/H$12)</f>
        <v>0.13335341180541255</v>
      </c>
      <c r="K90" s="16"/>
      <c r="L90" s="30">
        <f>D90-H90</f>
        <v>-162959.87746101033</v>
      </c>
      <c r="M90" s="16"/>
      <c r="N90" s="35">
        <f>IF(H90=0,0,L90/H90)</f>
        <v>-0.87616352615852511</v>
      </c>
      <c r="O90" s="25"/>
      <c r="P90" s="30">
        <f>+P86-P88</f>
        <v>-37931.16999999994</v>
      </c>
      <c r="Q90" s="13"/>
      <c r="R90" s="35">
        <f>IF(P$12=0,0,P90/P$12)</f>
        <v>-4.761448495156282E-2</v>
      </c>
      <c r="S90" s="13"/>
      <c r="T90" s="30">
        <f>+T86-T88</f>
        <v>127626.12389227306</v>
      </c>
      <c r="U90" s="13"/>
      <c r="V90" s="35">
        <f>IF(T$12=0,0,T90/T$12)</f>
        <v>8.7053404716341792E-2</v>
      </c>
      <c r="W90" s="16"/>
      <c r="X90" s="30">
        <f>P90-T90</f>
        <v>-165557.29389227298</v>
      </c>
      <c r="Y90" s="16"/>
      <c r="Z90" s="35">
        <f>IF(T90=0,0,X90/T90)</f>
        <v>-1.2972053749122472</v>
      </c>
    </row>
    <row r="91" spans="1:26" ht="15" thickTop="1" x14ac:dyDescent="0.3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294</v>
      </c>
      <c r="C93" s="26"/>
      <c r="D93" s="32">
        <f>SUM(D90:D92)</f>
        <v>23032.659999999945</v>
      </c>
      <c r="E93" s="13"/>
      <c r="F93" s="34">
        <f>IF(D$12=0,0,D93/D$12)</f>
        <v>3.1107169854029205E-2</v>
      </c>
      <c r="G93" s="13"/>
      <c r="H93" s="32">
        <f>SUM(H90:H92)</f>
        <v>185992.53746101027</v>
      </c>
      <c r="I93" s="13"/>
      <c r="J93" s="34">
        <f>IF(H$12=0,0,H93/H$12)</f>
        <v>0.13335341180541255</v>
      </c>
      <c r="K93" s="16"/>
      <c r="L93" s="32">
        <f>+D93-H93</f>
        <v>-162959.87746101033</v>
      </c>
      <c r="M93" s="16"/>
      <c r="N93" s="34">
        <f>IF(H93=0,0,L93/H93)</f>
        <v>-0.87616352615852511</v>
      </c>
      <c r="O93" s="25"/>
      <c r="P93" s="32">
        <f>SUM(P90:P92)</f>
        <v>-37931.16999999994</v>
      </c>
      <c r="Q93" s="13"/>
      <c r="R93" s="34">
        <f>IF(P$12=0,0,P93/P$12)</f>
        <v>-4.761448495156282E-2</v>
      </c>
      <c r="S93" s="13"/>
      <c r="T93" s="32">
        <f>SUM(T90:T92)</f>
        <v>127626.12389227306</v>
      </c>
      <c r="U93" s="13"/>
      <c r="V93" s="34">
        <f>IF(T$12=0,0,T93/T$12)</f>
        <v>8.7053404716341792E-2</v>
      </c>
      <c r="W93" s="16"/>
      <c r="X93" s="32">
        <f>+P93-T93</f>
        <v>-165557.29389227298</v>
      </c>
      <c r="Y93" s="16"/>
      <c r="Z93" s="34">
        <f>IF(T93=0,0,X93/T93)</f>
        <v>-1.2972053749122472</v>
      </c>
    </row>
    <row r="94" spans="1:26" ht="15" thickTop="1" x14ac:dyDescent="0.3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A95" s="9"/>
      <c r="B95" s="61">
        <v>44470.835499687499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A96" s="9"/>
      <c r="B96" s="58" t="s">
        <v>56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55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","324", " - ", "Textbook Rental")</f>
        <v>Department 324 - Textbook Rental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269241.33999999997</v>
      </c>
      <c r="E12" s="4"/>
      <c r="F12" s="12"/>
      <c r="G12" s="4"/>
      <c r="H12" s="4">
        <f>SUM(OSRRefH13x_0)</f>
        <v>803071</v>
      </c>
      <c r="I12" s="4"/>
      <c r="J12" s="12"/>
      <c r="K12" s="4"/>
      <c r="L12" s="4">
        <f t="shared" ref="L12:L14" si="0">+D12-H12</f>
        <v>-533829.66</v>
      </c>
      <c r="M12" s="4"/>
      <c r="N12" s="12">
        <f t="shared" ref="N12:N14" si="1">IF(H12=0,0,L12/H12)</f>
        <v>-0.6647353222815916</v>
      </c>
      <c r="O12" s="10"/>
      <c r="P12" s="4">
        <f>SUM(OSRRefP13x_0)</f>
        <v>275154.56</v>
      </c>
      <c r="Q12" s="4"/>
      <c r="R12" s="12"/>
      <c r="S12" s="4"/>
      <c r="T12" s="4">
        <f>SUM(OSRRefT13x_0)</f>
        <v>817298</v>
      </c>
      <c r="U12" s="4"/>
      <c r="V12" s="12"/>
      <c r="W12" s="4"/>
      <c r="X12" s="4">
        <f t="shared" ref="X12:X14" si="2">+P12-T12</f>
        <v>-542143.43999999994</v>
      </c>
      <c r="Y12" s="4"/>
      <c r="Z12" s="12">
        <f t="shared" ref="Z12:Z14" si="3">IF(T12=0,0,X12/T12)</f>
        <v>-0.66333631062354237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--167084.93</f>
        <v>167084.93</v>
      </c>
      <c r="E13" s="2"/>
      <c r="F13" s="19"/>
      <c r="G13" s="2"/>
      <c r="H13" s="2">
        <v>803071</v>
      </c>
      <c r="I13" s="2"/>
      <c r="J13" s="19"/>
      <c r="K13" s="2"/>
      <c r="L13" s="2">
        <f t="shared" si="0"/>
        <v>-635986.07000000007</v>
      </c>
      <c r="M13" s="2"/>
      <c r="N13" s="19">
        <f t="shared" si="1"/>
        <v>-0.79194251815841943</v>
      </c>
      <c r="O13" s="11"/>
      <c r="P13" s="2">
        <f>--170993.98</f>
        <v>170993.98</v>
      </c>
      <c r="Q13" s="2"/>
      <c r="R13" s="19"/>
      <c r="S13" s="2"/>
      <c r="T13" s="2">
        <v>817298</v>
      </c>
      <c r="U13" s="2"/>
      <c r="V13" s="19"/>
      <c r="W13" s="2"/>
      <c r="X13" s="2">
        <f t="shared" si="2"/>
        <v>-646304.02</v>
      </c>
      <c r="Y13" s="2"/>
      <c r="Z13" s="19">
        <f t="shared" si="3"/>
        <v>-0.79078135514830583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--102156.41</f>
        <v>102156.41</v>
      </c>
      <c r="E14" s="2"/>
      <c r="F14" s="19"/>
      <c r="G14" s="2"/>
      <c r="H14" s="2"/>
      <c r="I14" s="2"/>
      <c r="J14" s="19"/>
      <c r="K14" s="2"/>
      <c r="L14" s="2">
        <f t="shared" si="0"/>
        <v>102156.41</v>
      </c>
      <c r="M14" s="2"/>
      <c r="N14" s="19">
        <f t="shared" si="1"/>
        <v>0</v>
      </c>
      <c r="O14" s="11"/>
      <c r="P14" s="2">
        <f>--104160.58</f>
        <v>104160.58</v>
      </c>
      <c r="Q14" s="2"/>
      <c r="R14" s="19"/>
      <c r="S14" s="2"/>
      <c r="T14" s="2"/>
      <c r="U14" s="2"/>
      <c r="V14" s="19"/>
      <c r="W14" s="2"/>
      <c r="X14" s="2">
        <f t="shared" si="2"/>
        <v>104160.58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202950.63</v>
      </c>
      <c r="E16" s="4"/>
      <c r="F16" s="12">
        <f t="shared" ref="F16:F17" si="4">IF(D$12=0,0,D16/D$12)</f>
        <v>0.75378702988181545</v>
      </c>
      <c r="G16" s="4"/>
      <c r="H16" s="4">
        <f>SUM(OSRRefH16x_0)</f>
        <v>582227</v>
      </c>
      <c r="I16" s="4"/>
      <c r="J16" s="12">
        <f t="shared" ref="J16:J17" si="5">IF(H$12=0,0,H16/H$12)</f>
        <v>0.72500065374045386</v>
      </c>
      <c r="K16" s="4"/>
      <c r="L16" s="4">
        <f t="shared" ref="L16:L17" si="6">+D16-H16</f>
        <v>-379276.37</v>
      </c>
      <c r="M16" s="4"/>
      <c r="N16" s="12">
        <f t="shared" ref="N16:N17" si="7">IF(H16=0,0,L16/H16)</f>
        <v>-0.65142353411985354</v>
      </c>
      <c r="O16" s="10"/>
      <c r="P16" s="4">
        <f>SUM(OSRRefP16x_0)</f>
        <v>204960.66</v>
      </c>
      <c r="Q16" s="4"/>
      <c r="R16" s="12">
        <f t="shared" ref="R16:R17" si="8">IF(P$12=0,0,P16/P$12)</f>
        <v>0.74489283404934303</v>
      </c>
      <c r="S16" s="4"/>
      <c r="T16" s="4">
        <f>SUM(OSRRefT16x_0)</f>
        <v>592542</v>
      </c>
      <c r="U16" s="4"/>
      <c r="V16" s="12">
        <f t="shared" ref="V16:V17" si="9">IF(T$12=0,0,T16/T$12)</f>
        <v>0.72500116236672552</v>
      </c>
      <c r="W16" s="4"/>
      <c r="X16" s="4">
        <f t="shared" ref="X16:X17" si="10">+P16-T16</f>
        <v>-387581.33999999997</v>
      </c>
      <c r="Y16" s="4"/>
      <c r="Z16" s="12">
        <f t="shared" ref="Z16:Z17" si="11">IF(T16=0,0,X16/T16)</f>
        <v>-0.65409935498243155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>
        <v>202950.63</v>
      </c>
      <c r="E17" s="2"/>
      <c r="F17" s="19">
        <f t="shared" si="4"/>
        <v>0.75378702988181545</v>
      </c>
      <c r="G17" s="2"/>
      <c r="H17" s="2">
        <v>582227</v>
      </c>
      <c r="I17" s="2"/>
      <c r="J17" s="19">
        <f t="shared" si="5"/>
        <v>0.72500065374045386</v>
      </c>
      <c r="K17" s="2"/>
      <c r="L17" s="2">
        <f t="shared" si="6"/>
        <v>-379276.37</v>
      </c>
      <c r="M17" s="2"/>
      <c r="N17" s="19">
        <f t="shared" si="7"/>
        <v>-0.65142353411985354</v>
      </c>
      <c r="O17" s="11"/>
      <c r="P17" s="2">
        <v>204960.66</v>
      </c>
      <c r="Q17" s="2"/>
      <c r="R17" s="19">
        <f t="shared" si="8"/>
        <v>0.74489283404934303</v>
      </c>
      <c r="S17" s="2"/>
      <c r="T17" s="2">
        <v>592542</v>
      </c>
      <c r="U17" s="2"/>
      <c r="V17" s="19">
        <f t="shared" si="9"/>
        <v>0.72500116236672552</v>
      </c>
      <c r="W17" s="2"/>
      <c r="X17" s="2">
        <f t="shared" si="10"/>
        <v>-387581.33999999997</v>
      </c>
      <c r="Y17" s="2"/>
      <c r="Z17" s="19">
        <f t="shared" si="11"/>
        <v>-0.65409935498243155</v>
      </c>
    </row>
    <row r="18" spans="1:26" x14ac:dyDescent="0.3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3">
      <c r="A19" s="10"/>
      <c r="B19" s="26" t="s">
        <v>108</v>
      </c>
      <c r="C19" s="26"/>
      <c r="D19" s="21">
        <f>D12-D16</f>
        <v>66290.709999999963</v>
      </c>
      <c r="E19" s="13"/>
      <c r="F19" s="20">
        <f>IF(D$12=0,0,D19/D$12)</f>
        <v>0.24621297011818458</v>
      </c>
      <c r="G19" s="13"/>
      <c r="H19" s="21">
        <f>H12-H16</f>
        <v>220844</v>
      </c>
      <c r="I19" s="13"/>
      <c r="J19" s="20">
        <f>IF(H$12=0,0,H19/H$12)</f>
        <v>0.27499934625954614</v>
      </c>
      <c r="K19" s="16"/>
      <c r="L19" s="21">
        <f>+D19-H19</f>
        <v>-154553.29000000004</v>
      </c>
      <c r="M19" s="16"/>
      <c r="N19" s="20">
        <f>IF(H19=0,0,L19/H19)</f>
        <v>-0.69983015160022477</v>
      </c>
      <c r="O19" s="25"/>
      <c r="P19" s="21">
        <f>P12-P16</f>
        <v>70193.899999999994</v>
      </c>
      <c r="Q19" s="13"/>
      <c r="R19" s="20">
        <f>IF(P$12=0,0,P19/P$12)</f>
        <v>0.25510716595065697</v>
      </c>
      <c r="S19" s="13"/>
      <c r="T19" s="21">
        <f>T12-T16</f>
        <v>224756</v>
      </c>
      <c r="U19" s="13"/>
      <c r="V19" s="20">
        <f>IF(T$12=0,0,T19/T$12)</f>
        <v>0.27499883763327454</v>
      </c>
      <c r="W19" s="16"/>
      <c r="X19" s="21">
        <f>+P19-T19</f>
        <v>-154562.1</v>
      </c>
      <c r="Y19" s="16"/>
      <c r="Z19" s="20">
        <f>IF(T19=0,0,X19/T19)</f>
        <v>-0.68768842656035878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5" t="s">
        <v>295</v>
      </c>
      <c r="C21" s="10"/>
      <c r="D21" s="22">
        <f>SUM(0)</f>
        <v>0</v>
      </c>
      <c r="E21" s="22"/>
      <c r="F21" s="31">
        <f>IF(D$12=0,0,D21/D$12)</f>
        <v>0</v>
      </c>
      <c r="G21" s="22"/>
      <c r="H21" s="22">
        <f>SUM(0)</f>
        <v>0</v>
      </c>
      <c r="I21" s="22"/>
      <c r="J21" s="31">
        <f>IF(H$12=0,0,H21/H$12)</f>
        <v>0</v>
      </c>
      <c r="K21" s="4"/>
      <c r="L21" s="22">
        <f>+D21-H21</f>
        <v>0</v>
      </c>
      <c r="M21" s="4"/>
      <c r="N21" s="31">
        <f>IF(H21=0,0,L21/H21)</f>
        <v>0</v>
      </c>
      <c r="O21" s="10"/>
      <c r="P21" s="22">
        <f>SUM(0)</f>
        <v>0</v>
      </c>
      <c r="Q21" s="22"/>
      <c r="R21" s="31">
        <f>IF(P$12=0,0,P21/P$12)</f>
        <v>0</v>
      </c>
      <c r="S21" s="22"/>
      <c r="T21" s="22">
        <f>SUM(0)</f>
        <v>0</v>
      </c>
      <c r="U21" s="22"/>
      <c r="V21" s="31">
        <f>IF(T$12=0,0,T21/T$12)</f>
        <v>0</v>
      </c>
      <c r="W21" s="4"/>
      <c r="X21" s="22">
        <f>+P21-T21</f>
        <v>0</v>
      </c>
      <c r="Y21" s="4"/>
      <c r="Z21" s="31">
        <f>IF(T21=0,0,X21/T21)</f>
        <v>0</v>
      </c>
    </row>
    <row r="22" spans="1:26" s="53" customFormat="1" x14ac:dyDescent="0.3">
      <c r="A22" s="36"/>
      <c r="B22" s="36"/>
      <c r="C22" s="36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293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277</v>
      </c>
      <c r="C25" s="26"/>
      <c r="D25" s="21">
        <f>+D19-D21+D23</f>
        <v>66290.709999999963</v>
      </c>
      <c r="E25" s="13"/>
      <c r="F25" s="20">
        <f>IF(D$12=0,0,D25/D$12)</f>
        <v>0.24621297011818458</v>
      </c>
      <c r="G25" s="13"/>
      <c r="H25" s="21">
        <f>+H19-H21+H23</f>
        <v>220844</v>
      </c>
      <c r="I25" s="13"/>
      <c r="J25" s="20">
        <f>IF(H$12=0,0,H25/H$12)</f>
        <v>0.27499934625954614</v>
      </c>
      <c r="K25" s="16"/>
      <c r="L25" s="21">
        <f>+D25-H25</f>
        <v>-154553.29000000004</v>
      </c>
      <c r="M25" s="16"/>
      <c r="N25" s="20">
        <f>IF(H25=0,0,L25/H25)</f>
        <v>-0.69983015160022477</v>
      </c>
      <c r="O25" s="25"/>
      <c r="P25" s="21">
        <f>+P19-P21+P23</f>
        <v>70193.899999999994</v>
      </c>
      <c r="Q25" s="13"/>
      <c r="R25" s="20">
        <f>IF(P$12=0,0,P25/P$12)</f>
        <v>0.25510716595065697</v>
      </c>
      <c r="S25" s="13"/>
      <c r="T25" s="21">
        <f>+T19-T21+T23</f>
        <v>224756</v>
      </c>
      <c r="U25" s="13"/>
      <c r="V25" s="20">
        <f>IF(T$12=0,0,T25/T$12)</f>
        <v>0.27499883763327454</v>
      </c>
      <c r="W25" s="16"/>
      <c r="X25" s="21">
        <f>+P25-T25</f>
        <v>-154562.1</v>
      </c>
      <c r="Y25" s="16"/>
      <c r="Z25" s="20">
        <f>IF(T25=0,0,X25/T25)</f>
        <v>-0.68768842656035878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52"/>
      <c r="B27" s="10" t="s">
        <v>128</v>
      </c>
      <c r="C27" s="10"/>
      <c r="D27" s="4">
        <v>38385.300000000003</v>
      </c>
      <c r="E27" s="4"/>
      <c r="F27" s="12">
        <f>IF(D$12=0,0,D27/D$12)</f>
        <v>0.14256837378687837</v>
      </c>
      <c r="G27" s="4"/>
      <c r="H27" s="4">
        <v>86380</v>
      </c>
      <c r="I27" s="4"/>
      <c r="J27" s="12">
        <f>IF(H$12=0,0,H27/H$12)</f>
        <v>0.10756209600396478</v>
      </c>
      <c r="K27" s="4"/>
      <c r="L27" s="4">
        <f>+D27-H27</f>
        <v>-47994.7</v>
      </c>
      <c r="M27" s="4"/>
      <c r="N27" s="12">
        <f>IF(H27=0,0,L27/H27)</f>
        <v>-0.55562282935864782</v>
      </c>
      <c r="O27" s="10"/>
      <c r="P27" s="4">
        <v>41117.18</v>
      </c>
      <c r="Q27" s="4"/>
      <c r="R27" s="12">
        <f>IF(P$12=0,0,P27/P$12)</f>
        <v>0.14943303138425182</v>
      </c>
      <c r="S27" s="4"/>
      <c r="T27" s="4">
        <v>91532</v>
      </c>
      <c r="U27" s="4"/>
      <c r="V27" s="12">
        <f>IF(T$12=0,0,T27/T$12)</f>
        <v>0.11199342222787771</v>
      </c>
      <c r="W27" s="4"/>
      <c r="X27" s="4">
        <f>+P27-T27</f>
        <v>-50414.82</v>
      </c>
      <c r="Y27" s="4"/>
      <c r="Z27" s="12">
        <f>IF(T27=0,0,X27/T27)</f>
        <v>-0.55078901367827648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" thickBot="1" x14ac:dyDescent="0.35">
      <c r="A29" s="10"/>
      <c r="B29" s="26" t="s">
        <v>126</v>
      </c>
      <c r="C29" s="26"/>
      <c r="D29" s="30">
        <f>+D25-D27</f>
        <v>27905.40999999996</v>
      </c>
      <c r="E29" s="13"/>
      <c r="F29" s="35">
        <f>IF(D$12=0,0,D29/D$12)</f>
        <v>0.1036445963313062</v>
      </c>
      <c r="G29" s="13"/>
      <c r="H29" s="30">
        <f>+H25-H27</f>
        <v>134464</v>
      </c>
      <c r="I29" s="13"/>
      <c r="J29" s="35">
        <f>IF(H$12=0,0,H29/H$12)</f>
        <v>0.1674372502555814</v>
      </c>
      <c r="K29" s="16"/>
      <c r="L29" s="30">
        <f>D29-H29</f>
        <v>-106558.59000000004</v>
      </c>
      <c r="M29" s="16"/>
      <c r="N29" s="35">
        <f>IF(H29=0,0,L29/H29)</f>
        <v>-0.79246928545930539</v>
      </c>
      <c r="O29" s="25"/>
      <c r="P29" s="30">
        <f>+P25-P27</f>
        <v>29076.719999999994</v>
      </c>
      <c r="Q29" s="13"/>
      <c r="R29" s="35">
        <f>IF(P$12=0,0,P29/P$12)</f>
        <v>0.10567413456640513</v>
      </c>
      <c r="S29" s="13"/>
      <c r="T29" s="30">
        <f>+T25-T27</f>
        <v>133224</v>
      </c>
      <c r="U29" s="13"/>
      <c r="V29" s="35">
        <f>IF(T$12=0,0,T29/T$12)</f>
        <v>0.16300541540539681</v>
      </c>
      <c r="W29" s="16"/>
      <c r="X29" s="30">
        <f>P29-T29</f>
        <v>-104147.28</v>
      </c>
      <c r="Y29" s="16"/>
      <c r="Z29" s="35">
        <f>IF(T29=0,0,X29/T29)</f>
        <v>-0.78174563141776254</v>
      </c>
    </row>
    <row r="30" spans="1:26" ht="15" thickTop="1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294</v>
      </c>
      <c r="C32" s="26"/>
      <c r="D32" s="32">
        <f>SUM(D29:D31)</f>
        <v>27905.40999999996</v>
      </c>
      <c r="E32" s="13"/>
      <c r="F32" s="34">
        <f>IF(D$12=0,0,D32/D$12)</f>
        <v>0.1036445963313062</v>
      </c>
      <c r="G32" s="13"/>
      <c r="H32" s="32">
        <f>SUM(H29:H31)</f>
        <v>134464</v>
      </c>
      <c r="I32" s="13"/>
      <c r="J32" s="34">
        <f>IF(H$12=0,0,H32/H$12)</f>
        <v>0.1674372502555814</v>
      </c>
      <c r="K32" s="16"/>
      <c r="L32" s="32">
        <f>+D32-H32</f>
        <v>-106558.59000000004</v>
      </c>
      <c r="M32" s="16"/>
      <c r="N32" s="34">
        <f>IF(H32=0,0,L32/H32)</f>
        <v>-0.79246928545930539</v>
      </c>
      <c r="O32" s="25"/>
      <c r="P32" s="32">
        <f>SUM(P29:P31)</f>
        <v>29076.719999999994</v>
      </c>
      <c r="Q32" s="13"/>
      <c r="R32" s="34">
        <f>IF(P$12=0,0,P32/P$12)</f>
        <v>0.10567413456640513</v>
      </c>
      <c r="S32" s="13"/>
      <c r="T32" s="32">
        <f>SUM(T29:T31)</f>
        <v>133224</v>
      </c>
      <c r="U32" s="13"/>
      <c r="V32" s="34">
        <f>IF(T$12=0,0,T32/T$12)</f>
        <v>0.16300541540539681</v>
      </c>
      <c r="W32" s="16"/>
      <c r="X32" s="32">
        <f>+P32-T32</f>
        <v>-104147.28</v>
      </c>
      <c r="Y32" s="16"/>
      <c r="Z32" s="34">
        <f>IF(T32=0,0,X32/T32)</f>
        <v>-0.78174563141776254</v>
      </c>
    </row>
    <row r="33" spans="1:24" ht="15" thickTop="1" x14ac:dyDescent="0.3">
      <c r="A33" s="9"/>
      <c r="C33" s="9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61">
        <v>44470.835499687499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8" t="s">
        <v>56</v>
      </c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A36" s="9"/>
      <c r="B36" s="55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4" x14ac:dyDescent="0.3"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22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430665.4</v>
      </c>
      <c r="E12" s="4"/>
      <c r="F12" s="12"/>
      <c r="G12" s="4"/>
      <c r="H12" s="4">
        <f>SUM(OSRRefH13x_0)</f>
        <v>446761</v>
      </c>
      <c r="I12" s="4"/>
      <c r="J12" s="12"/>
      <c r="K12" s="4"/>
      <c r="L12" s="4">
        <f t="shared" ref="L12:L16" si="0">+D12-H12</f>
        <v>-16095.599999999977</v>
      </c>
      <c r="M12" s="4"/>
      <c r="N12" s="12">
        <f t="shared" ref="N12:N16" si="1">IF(H12=0,0,L12/H12)</f>
        <v>-3.6027316618952809E-2</v>
      </c>
      <c r="O12" s="10"/>
      <c r="P12" s="4">
        <f>SUM(OSRRefP13x_0)</f>
        <v>586517</v>
      </c>
      <c r="Q12" s="4"/>
      <c r="R12" s="12"/>
      <c r="S12" s="4"/>
      <c r="T12" s="4">
        <f>SUM(OSRRefT13x_0)</f>
        <v>686368</v>
      </c>
      <c r="U12" s="4"/>
      <c r="V12" s="12"/>
      <c r="W12" s="4"/>
      <c r="X12" s="4">
        <f t="shared" ref="X12:X16" si="2">+P12-T12</f>
        <v>-99851</v>
      </c>
      <c r="Y12" s="4"/>
      <c r="Z12" s="12">
        <f t="shared" ref="Z12:Z16" si="3">IF(T12=0,0,X12/T12)</f>
        <v>-0.14547735325656208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--413306.18</f>
        <v>413306.18</v>
      </c>
      <c r="E13" s="2"/>
      <c r="F13" s="19"/>
      <c r="G13" s="2"/>
      <c r="H13" s="2">
        <v>446761</v>
      </c>
      <c r="I13" s="2"/>
      <c r="J13" s="19"/>
      <c r="K13" s="2"/>
      <c r="L13" s="2">
        <f t="shared" si="0"/>
        <v>-33454.820000000007</v>
      </c>
      <c r="M13" s="2"/>
      <c r="N13" s="19">
        <f t="shared" si="1"/>
        <v>-7.4883035896150307E-2</v>
      </c>
      <c r="O13" s="11"/>
      <c r="P13" s="2">
        <f>--564290.45</f>
        <v>564290.44999999995</v>
      </c>
      <c r="Q13" s="2"/>
      <c r="R13" s="19"/>
      <c r="S13" s="2"/>
      <c r="T13" s="2">
        <v>686368</v>
      </c>
      <c r="U13" s="2"/>
      <c r="V13" s="19"/>
      <c r="W13" s="2"/>
      <c r="X13" s="2">
        <f t="shared" si="2"/>
        <v>-122077.55000000005</v>
      </c>
      <c r="Y13" s="2"/>
      <c r="Z13" s="19">
        <f t="shared" si="3"/>
        <v>-0.17786020035899117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--25660.29</f>
        <v>25660.29</v>
      </c>
      <c r="E14" s="2"/>
      <c r="F14" s="19"/>
      <c r="G14" s="2"/>
      <c r="H14" s="2"/>
      <c r="I14" s="2"/>
      <c r="J14" s="19"/>
      <c r="K14" s="2"/>
      <c r="L14" s="2">
        <f t="shared" si="0"/>
        <v>25660.29</v>
      </c>
      <c r="M14" s="2"/>
      <c r="N14" s="19">
        <f t="shared" si="1"/>
        <v>0</v>
      </c>
      <c r="O14" s="11"/>
      <c r="P14" s="2">
        <f>--35293.08</f>
        <v>35293.08</v>
      </c>
      <c r="Q14" s="2"/>
      <c r="R14" s="19"/>
      <c r="S14" s="2"/>
      <c r="T14" s="2"/>
      <c r="U14" s="2"/>
      <c r="V14" s="19"/>
      <c r="W14" s="2"/>
      <c r="X14" s="2">
        <f t="shared" si="2"/>
        <v>35293.08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-8202.72</f>
        <v>-8202.7199999999993</v>
      </c>
      <c r="E15" s="2"/>
      <c r="F15" s="19"/>
      <c r="G15" s="2"/>
      <c r="H15" s="2"/>
      <c r="I15" s="2"/>
      <c r="J15" s="19"/>
      <c r="K15" s="2"/>
      <c r="L15" s="2">
        <f t="shared" si="0"/>
        <v>-8202.7199999999993</v>
      </c>
      <c r="M15" s="2"/>
      <c r="N15" s="19">
        <f t="shared" si="1"/>
        <v>0</v>
      </c>
      <c r="O15" s="11"/>
      <c r="P15" s="2">
        <f>-12848.33</f>
        <v>-12848.33</v>
      </c>
      <c r="Q15" s="2"/>
      <c r="R15" s="19"/>
      <c r="S15" s="2"/>
      <c r="T15" s="2"/>
      <c r="U15" s="2"/>
      <c r="V15" s="19"/>
      <c r="W15" s="2"/>
      <c r="X15" s="2">
        <f t="shared" si="2"/>
        <v>-12848.33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-98.35</f>
        <v>-98.35</v>
      </c>
      <c r="E16" s="2"/>
      <c r="F16" s="19"/>
      <c r="G16" s="2"/>
      <c r="H16" s="2"/>
      <c r="I16" s="2"/>
      <c r="J16" s="19"/>
      <c r="K16" s="2"/>
      <c r="L16" s="2">
        <f t="shared" si="0"/>
        <v>-98.35</v>
      </c>
      <c r="M16" s="2"/>
      <c r="N16" s="19">
        <f t="shared" si="1"/>
        <v>0</v>
      </c>
      <c r="O16" s="11"/>
      <c r="P16" s="2">
        <f>-218.2</f>
        <v>-218.2</v>
      </c>
      <c r="Q16" s="2"/>
      <c r="R16" s="19"/>
      <c r="S16" s="2"/>
      <c r="T16" s="2"/>
      <c r="U16" s="2"/>
      <c r="V16" s="19"/>
      <c r="W16" s="2"/>
      <c r="X16" s="2">
        <f t="shared" si="2"/>
        <v>-218.2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180200.93000000002</v>
      </c>
      <c r="E18" s="4"/>
      <c r="F18" s="12">
        <f t="shared" ref="F18:F37" si="4">IF(D$12=0,0,D18/D$12)</f>
        <v>0.41842444273442914</v>
      </c>
      <c r="G18" s="4"/>
      <c r="H18" s="4">
        <f>SUM(OSRRefH16x_0)</f>
        <v>233899</v>
      </c>
      <c r="I18" s="4"/>
      <c r="J18" s="12">
        <f t="shared" ref="J18:J37" si="5">IF(H$12=0,0,H18/H$12)</f>
        <v>0.5235439082641502</v>
      </c>
      <c r="K18" s="4"/>
      <c r="L18" s="4">
        <f t="shared" ref="L18:L37" si="6">+D18-H18</f>
        <v>-53698.069999999978</v>
      </c>
      <c r="M18" s="4"/>
      <c r="N18" s="12">
        <f t="shared" ref="N18:N37" si="7">IF(H18=0,0,L18/H18)</f>
        <v>-0.22957802299283014</v>
      </c>
      <c r="O18" s="10"/>
      <c r="P18" s="4">
        <f>SUM(OSRRefP16x_0)</f>
        <v>262920.62</v>
      </c>
      <c r="Q18" s="4"/>
      <c r="R18" s="12">
        <f t="shared" ref="R18:R37" si="8">IF(P$12=0,0,P18/P$12)</f>
        <v>0.44827450866726792</v>
      </c>
      <c r="S18" s="4"/>
      <c r="T18" s="4">
        <f>SUM(OSRRefT16x_0)</f>
        <v>374460</v>
      </c>
      <c r="U18" s="4"/>
      <c r="V18" s="12">
        <f t="shared" ref="V18:V37" si="9">IF(T$12=0,0,T18/T$12)</f>
        <v>0.54556739241922703</v>
      </c>
      <c r="W18" s="4"/>
      <c r="X18" s="4">
        <f t="shared" ref="X18:X37" si="10">+P18-T18</f>
        <v>-111539.38</v>
      </c>
      <c r="Y18" s="4"/>
      <c r="Z18" s="12">
        <f t="shared" ref="Z18:Z37" si="11">IF(T18=0,0,X18/T18)</f>
        <v>-0.29786727554344927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63702.01</v>
      </c>
      <c r="E19" s="2"/>
      <c r="F19" s="19">
        <f t="shared" si="4"/>
        <v>0.1479153189459845</v>
      </c>
      <c r="G19" s="2"/>
      <c r="H19" s="2">
        <v>233899</v>
      </c>
      <c r="I19" s="2"/>
      <c r="J19" s="19">
        <f t="shared" si="5"/>
        <v>0.5235439082641502</v>
      </c>
      <c r="K19" s="2"/>
      <c r="L19" s="2">
        <f t="shared" si="6"/>
        <v>-170196.99</v>
      </c>
      <c r="M19" s="2"/>
      <c r="N19" s="19">
        <f t="shared" si="7"/>
        <v>-0.7276516359625308</v>
      </c>
      <c r="O19" s="11"/>
      <c r="P19" s="2">
        <v>144257.64000000001</v>
      </c>
      <c r="Q19" s="2"/>
      <c r="R19" s="19">
        <f t="shared" si="8"/>
        <v>0.24595645139015582</v>
      </c>
      <c r="S19" s="2"/>
      <c r="T19" s="2">
        <v>374460</v>
      </c>
      <c r="U19" s="2"/>
      <c r="V19" s="19">
        <f t="shared" si="9"/>
        <v>0.54556739241922703</v>
      </c>
      <c r="W19" s="2"/>
      <c r="X19" s="2">
        <f t="shared" si="10"/>
        <v>-230202.36</v>
      </c>
      <c r="Y19" s="2"/>
      <c r="Z19" s="19">
        <f t="shared" si="11"/>
        <v>-0.61475821182502799</v>
      </c>
    </row>
    <row r="20" spans="1:26" s="24" customFormat="1" hidden="1" outlineLevel="1" x14ac:dyDescent="0.3">
      <c r="A20" s="44"/>
      <c r="B20" s="11" t="str">
        <f>CONCATENATE("          ", "5027", " - ", "PURCHASES @ COST-SCHOOL SUPPLI")</f>
        <v xml:space="preserve">          5027 - PURCHASES @ COST-SCHOOL SUPPLI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"5028", " - ", "PURCHASES @ COST-ART/TECH")</f>
        <v xml:space="preserve">          5028 - PURCHASES @ COST-ART/TECH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"5031", " - ", "PURCHASES @ COST-FOOD")</f>
        <v xml:space="preserve">          5031 - PURCHASES @ COST-FOOD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"5040", " - ", "PURCHASES @ COST-LOGO CLOTHING")</f>
        <v xml:space="preserve">          5040 - PURCHASES @ COST-LOGO CLOTHING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"5041", " - ", "PURCHASES @ COST-LOGO GIFTS")</f>
        <v xml:space="preserve">          5041 - PURCHASES @ COST-LOGO GIFTS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"5042", " - ", "PURCHASES @ COST-EVERYDAY GIFT")</f>
        <v xml:space="preserve">          5042 - PURCHASES @ COST-EVERYDAY GIFT</v>
      </c>
      <c r="C25" s="11"/>
      <c r="D25" s="2">
        <v>0</v>
      </c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"5043", " - ", "PURCHASES @ COST-CARDS")</f>
        <v xml:space="preserve">          5043 - PURCHASES @ COST-CARDS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"5044", " - ", "PURCHASES @ COST-ACCESSORIES")</f>
        <v xml:space="preserve">          5044 - PURCHASES @ COST-ACCESSORIES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"5045", " - ", "PURCHASES @ COST-SPECIAL ORDER")</f>
        <v xml:space="preserve">          5045 - PURCHASES @ COST-SPECIAL ORDER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"5200", " - ", "PURCHASES OFFSET")</f>
        <v xml:space="preserve">          5200 - PURCHASES OFFSET</v>
      </c>
      <c r="C29" s="11"/>
      <c r="D29" s="2">
        <v>-66711.179999999993</v>
      </c>
      <c r="E29" s="2"/>
      <c r="F29" s="19">
        <f t="shared" si="4"/>
        <v>-0.1549025763388468</v>
      </c>
      <c r="G29" s="2"/>
      <c r="H29" s="2"/>
      <c r="I29" s="2"/>
      <c r="J29" s="19">
        <f t="shared" si="5"/>
        <v>0</v>
      </c>
      <c r="K29" s="2"/>
      <c r="L29" s="2">
        <f t="shared" si="6"/>
        <v>-66711.179999999993</v>
      </c>
      <c r="M29" s="2"/>
      <c r="N29" s="19">
        <f t="shared" si="7"/>
        <v>0</v>
      </c>
      <c r="O29" s="11"/>
      <c r="P29" s="2">
        <v>-148668.13</v>
      </c>
      <c r="Q29" s="2"/>
      <c r="R29" s="19">
        <f t="shared" si="8"/>
        <v>-0.25347625047526329</v>
      </c>
      <c r="S29" s="2"/>
      <c r="T29" s="2"/>
      <c r="U29" s="2"/>
      <c r="V29" s="19">
        <f t="shared" si="9"/>
        <v>0</v>
      </c>
      <c r="W29" s="2"/>
      <c r="X29" s="2">
        <f t="shared" si="10"/>
        <v>-148668.13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"5300", " - ", "COG$ OFFSET")</f>
        <v xml:space="preserve">          5300 - COG$ OFFSET</v>
      </c>
      <c r="C30" s="11"/>
      <c r="D30" s="2">
        <v>180200.93</v>
      </c>
      <c r="E30" s="2"/>
      <c r="F30" s="19">
        <f t="shared" si="4"/>
        <v>0.41842444273442908</v>
      </c>
      <c r="G30" s="2"/>
      <c r="H30" s="2"/>
      <c r="I30" s="2"/>
      <c r="J30" s="19">
        <f t="shared" si="5"/>
        <v>0</v>
      </c>
      <c r="K30" s="2"/>
      <c r="L30" s="2">
        <f t="shared" si="6"/>
        <v>180200.93</v>
      </c>
      <c r="M30" s="2"/>
      <c r="N30" s="19">
        <f t="shared" si="7"/>
        <v>0</v>
      </c>
      <c r="O30" s="11"/>
      <c r="P30" s="2">
        <v>262920.62</v>
      </c>
      <c r="Q30" s="2"/>
      <c r="R30" s="19">
        <f t="shared" si="8"/>
        <v>0.44827450866726792</v>
      </c>
      <c r="S30" s="2"/>
      <c r="T30" s="2"/>
      <c r="U30" s="2"/>
      <c r="V30" s="19">
        <f t="shared" si="9"/>
        <v>0</v>
      </c>
      <c r="W30" s="2"/>
      <c r="X30" s="2">
        <f t="shared" si="10"/>
        <v>262920.62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"5500", " - ", "FREIGHT-IN")</f>
        <v xml:space="preserve">          5500 - FREIGHT-IN</v>
      </c>
      <c r="C31" s="11"/>
      <c r="D31" s="2">
        <v>3009.17</v>
      </c>
      <c r="E31" s="2"/>
      <c r="F31" s="19">
        <f t="shared" si="4"/>
        <v>6.987257392862301E-3</v>
      </c>
      <c r="G31" s="2"/>
      <c r="H31" s="2"/>
      <c r="I31" s="2"/>
      <c r="J31" s="19">
        <f t="shared" si="5"/>
        <v>0</v>
      </c>
      <c r="K31" s="2"/>
      <c r="L31" s="2">
        <f t="shared" si="6"/>
        <v>3009.17</v>
      </c>
      <c r="M31" s="2"/>
      <c r="N31" s="19">
        <f t="shared" si="7"/>
        <v>0</v>
      </c>
      <c r="O31" s="11"/>
      <c r="P31" s="2">
        <v>4410.49</v>
      </c>
      <c r="Q31" s="2"/>
      <c r="R31" s="19">
        <f t="shared" si="8"/>
        <v>7.5197990851075076E-3</v>
      </c>
      <c r="S31" s="2"/>
      <c r="T31" s="2"/>
      <c r="U31" s="2"/>
      <c r="V31" s="19">
        <f t="shared" si="9"/>
        <v>0</v>
      </c>
      <c r="W31" s="2"/>
      <c r="X31" s="2">
        <f t="shared" si="10"/>
        <v>4410.49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"5527", " - ", "FREIGHT-IN-SCHOOL SUPPLIES")</f>
        <v xml:space="preserve">          5527 - FREIGHT-IN-SCHOOL SUPPLIES</v>
      </c>
      <c r="C32" s="11"/>
      <c r="D32" s="2">
        <v>0</v>
      </c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"5540", " - ", "FREIGHT-IN-LOGO CLOTHING")</f>
        <v xml:space="preserve">          5540 - FREIGHT-IN-LOGO CLOTHING</v>
      </c>
      <c r="C33" s="11"/>
      <c r="D33" s="2">
        <v>0</v>
      </c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"5541", " - ", "FREIGHT-IN-LOGO GIFTS")</f>
        <v xml:space="preserve">          5541 - FREIGHT-IN-LOGO GIFTS</v>
      </c>
      <c r="C34" s="11"/>
      <c r="D34" s="2">
        <v>0</v>
      </c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"5542", " - ", "FREIGHT-IN-EVERYDAY GIFTS")</f>
        <v xml:space="preserve">          5542 - FREIGHT-IN-EVERYDAY GIFTS</v>
      </c>
      <c r="C35" s="11"/>
      <c r="D35" s="2">
        <v>0</v>
      </c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"5544", " - ", "FREIGHT-IN-ACCESSORIES")</f>
        <v xml:space="preserve">          5544 - FREIGHT-IN-ACCESSORIES</v>
      </c>
      <c r="C36" s="11"/>
      <c r="D36" s="2">
        <v>0</v>
      </c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"5545", " - ", "FREIGHT-IN-SPECIAL ORDERS")</f>
        <v xml:space="preserve">          5545 - FREIGHT-IN-SPECIAL ORDERS</v>
      </c>
      <c r="C37" s="11"/>
      <c r="D37" s="2">
        <v>0</v>
      </c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x14ac:dyDescent="0.3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3">
      <c r="A39" s="10"/>
      <c r="B39" s="26" t="s">
        <v>108</v>
      </c>
      <c r="C39" s="26"/>
      <c r="D39" s="21">
        <f>D12-D18</f>
        <v>250464.47</v>
      </c>
      <c r="E39" s="13"/>
      <c r="F39" s="20">
        <f>IF(D$12=0,0,D39/D$12)</f>
        <v>0.58157555726557086</v>
      </c>
      <c r="G39" s="13"/>
      <c r="H39" s="21">
        <f>H12-H18</f>
        <v>212862</v>
      </c>
      <c r="I39" s="13"/>
      <c r="J39" s="20">
        <f>IF(H$12=0,0,H39/H$12)</f>
        <v>0.4764560917358498</v>
      </c>
      <c r="K39" s="16"/>
      <c r="L39" s="21">
        <f>+D39-H39</f>
        <v>37602.47</v>
      </c>
      <c r="M39" s="16"/>
      <c r="N39" s="20">
        <f>IF(H39=0,0,L39/H39)</f>
        <v>0.17665186834662833</v>
      </c>
      <c r="O39" s="25"/>
      <c r="P39" s="21">
        <f>P12-P18</f>
        <v>323596.38</v>
      </c>
      <c r="Q39" s="13"/>
      <c r="R39" s="20">
        <f>IF(P$12=0,0,P39/P$12)</f>
        <v>0.55172549133273208</v>
      </c>
      <c r="S39" s="13"/>
      <c r="T39" s="21">
        <f>T12-T18</f>
        <v>311908</v>
      </c>
      <c r="U39" s="13"/>
      <c r="V39" s="20">
        <f>IF(T$12=0,0,T39/T$12)</f>
        <v>0.45443260758077297</v>
      </c>
      <c r="W39" s="16"/>
      <c r="X39" s="21">
        <f>+P39-T39</f>
        <v>11688.380000000005</v>
      </c>
      <c r="Y39" s="16"/>
      <c r="Z39" s="20">
        <f>IF(T39=0,0,X39/T39)</f>
        <v>3.7473806378804021E-2</v>
      </c>
    </row>
    <row r="40" spans="1:26" x14ac:dyDescent="0.3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6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3">
      <c r="A41" s="10"/>
      <c r="B41" s="25" t="s">
        <v>295</v>
      </c>
      <c r="C41" s="10"/>
      <c r="D41" s="22">
        <f>SUM(OSRRefD22x_0)</f>
        <v>98819.290000000008</v>
      </c>
      <c r="E41" s="22"/>
      <c r="F41" s="31">
        <f t="shared" ref="F41:F51" si="12">IF(D$12=0,0,D41/D$12)</f>
        <v>0.22945723060176185</v>
      </c>
      <c r="G41" s="22"/>
      <c r="H41" s="22">
        <f>SUM(OSRRefH22x_0)</f>
        <v>94649.394707692321</v>
      </c>
      <c r="I41" s="22"/>
      <c r="J41" s="31">
        <f t="shared" ref="J41:J51" si="13">IF(H$12=0,0,H41/H$12)</f>
        <v>0.21185688703287064</v>
      </c>
      <c r="K41" s="4"/>
      <c r="L41" s="22">
        <f t="shared" ref="L41:L51" si="14">+D41-H41</f>
        <v>4169.8952923076868</v>
      </c>
      <c r="M41" s="4"/>
      <c r="N41" s="31">
        <f t="shared" ref="N41:N51" si="15">IF(H41=0,0,L41/H41)</f>
        <v>4.4056227778166576E-2</v>
      </c>
      <c r="O41" s="10"/>
      <c r="P41" s="22">
        <f>SUM(OSRRefP22x_0)</f>
        <v>195012.08000000007</v>
      </c>
      <c r="Q41" s="22"/>
      <c r="R41" s="31">
        <f t="shared" ref="R41:R51" si="16">IF(P$12=0,0,P41/P$12)</f>
        <v>0.33249177773193289</v>
      </c>
      <c r="S41" s="22"/>
      <c r="T41" s="22">
        <f>SUM(OSRRefT22x_0)</f>
        <v>216310.38809230766</v>
      </c>
      <c r="U41" s="22"/>
      <c r="V41" s="31">
        <f t="shared" ref="V41:V51" si="17">IF(T$12=0,0,T41/T$12)</f>
        <v>0.31515220419994472</v>
      </c>
      <c r="W41" s="4"/>
      <c r="X41" s="22">
        <f t="shared" ref="X41:X51" si="18">+P41-T41</f>
        <v>-21298.30809230759</v>
      </c>
      <c r="Y41" s="4"/>
      <c r="Z41" s="31">
        <f t="shared" ref="Z41:Z51" si="19">IF(T41=0,0,X41/T41)</f>
        <v>-9.8461790393620907E-2</v>
      </c>
    </row>
    <row r="42" spans="1:26" s="28" customFormat="1" outlineLevel="1" collapsed="1" x14ac:dyDescent="0.3">
      <c r="A42" s="29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SUM(OSRRefD22_0x_0)</f>
        <v>15134.39</v>
      </c>
      <c r="E42" s="1"/>
      <c r="F42" s="5">
        <f t="shared" si="12"/>
        <v>3.5141875804278681E-2</v>
      </c>
      <c r="G42" s="1"/>
      <c r="H42" s="1">
        <f>SUM(OSRRefH22_0x_0)</f>
        <v>17997.187015384625</v>
      </c>
      <c r="I42" s="1"/>
      <c r="J42" s="5">
        <f t="shared" si="13"/>
        <v>4.0283702058560675E-2</v>
      </c>
      <c r="K42" s="1"/>
      <c r="L42" s="1">
        <f t="shared" si="14"/>
        <v>-2862.7970153846254</v>
      </c>
      <c r="M42" s="1"/>
      <c r="N42" s="5">
        <f t="shared" si="15"/>
        <v>-0.15906913746783907</v>
      </c>
      <c r="O42" s="14"/>
      <c r="P42" s="1">
        <f>SUM(OSRRefP22_0x_0)</f>
        <v>28812.59</v>
      </c>
      <c r="Q42" s="1"/>
      <c r="R42" s="5">
        <f t="shared" si="16"/>
        <v>4.9124901750503394E-2</v>
      </c>
      <c r="S42" s="1"/>
      <c r="T42" s="1">
        <f>SUM(OSRRefT22_0x_0)</f>
        <v>38940.920784615359</v>
      </c>
      <c r="U42" s="1"/>
      <c r="V42" s="5">
        <f t="shared" si="17"/>
        <v>5.6734755677151846E-2</v>
      </c>
      <c r="W42" s="1"/>
      <c r="X42" s="1">
        <f t="shared" si="18"/>
        <v>-10128.330784615358</v>
      </c>
      <c r="Y42" s="1"/>
      <c r="Z42" s="5">
        <f t="shared" si="19"/>
        <v>-0.26009479438444155</v>
      </c>
    </row>
    <row r="43" spans="1:26" s="24" customFormat="1" hidden="1" outlineLevel="2" x14ac:dyDescent="0.3">
      <c r="A43" s="27"/>
      <c r="B43" s="11" t="str">
        <f>CONCATENATE("          ", "6111", " - ", "F.I.C.A.")</f>
        <v xml:space="preserve">          6111 - F.I.C.A.</v>
      </c>
      <c r="C43" s="11"/>
      <c r="D43" s="6">
        <v>4182.6899999999996</v>
      </c>
      <c r="E43" s="2"/>
      <c r="F43" s="7">
        <f t="shared" si="12"/>
        <v>9.7121570481399234E-3</v>
      </c>
      <c r="G43" s="2"/>
      <c r="H43" s="6">
        <v>2881.2956307692298</v>
      </c>
      <c r="I43" s="2"/>
      <c r="J43" s="7">
        <f t="shared" si="13"/>
        <v>6.4492998063153005E-3</v>
      </c>
      <c r="K43" s="2"/>
      <c r="L43" s="6">
        <f t="shared" si="14"/>
        <v>1301.3943692307698</v>
      </c>
      <c r="M43" s="2"/>
      <c r="N43" s="7">
        <f t="shared" si="15"/>
        <v>0.45166985134508114</v>
      </c>
      <c r="O43" s="11"/>
      <c r="P43" s="6">
        <v>7440.09</v>
      </c>
      <c r="Q43" s="2"/>
      <c r="R43" s="7">
        <f t="shared" si="16"/>
        <v>1.2685207760388872E-2</v>
      </c>
      <c r="S43" s="2"/>
      <c r="T43" s="6">
        <v>6482.9151692307696</v>
      </c>
      <c r="U43" s="2"/>
      <c r="V43" s="7">
        <f t="shared" si="17"/>
        <v>9.445246819826638E-3</v>
      </c>
      <c r="W43" s="2"/>
      <c r="X43" s="6">
        <f t="shared" si="18"/>
        <v>957.17483076923054</v>
      </c>
      <c r="Y43" s="2"/>
      <c r="Z43" s="7">
        <f t="shared" si="19"/>
        <v>0.14764574358649277</v>
      </c>
    </row>
    <row r="44" spans="1:26" s="24" customFormat="1" hidden="1" outlineLevel="2" x14ac:dyDescent="0.3">
      <c r="A44" s="27"/>
      <c r="B44" s="11" t="str">
        <f>CONCATENATE("          ", "6112", " - ", "COMPENSATION INSURANCE")</f>
        <v xml:space="preserve">          6112 - COMPENSATION INSURANCE</v>
      </c>
      <c r="C44" s="11"/>
      <c r="D44" s="6">
        <v>929.2</v>
      </c>
      <c r="E44" s="2"/>
      <c r="F44" s="7">
        <f t="shared" si="12"/>
        <v>2.1575914851761947E-3</v>
      </c>
      <c r="G44" s="2"/>
      <c r="H44" s="6">
        <v>1017.888</v>
      </c>
      <c r="I44" s="2"/>
      <c r="J44" s="7">
        <f t="shared" si="13"/>
        <v>2.2783725526623858E-3</v>
      </c>
      <c r="K44" s="2"/>
      <c r="L44" s="6">
        <f t="shared" si="14"/>
        <v>-88.687999999999988</v>
      </c>
      <c r="M44" s="2"/>
      <c r="N44" s="7">
        <f t="shared" si="15"/>
        <v>-8.7129428778018783E-2</v>
      </c>
      <c r="O44" s="11"/>
      <c r="P44" s="6">
        <v>1663.23</v>
      </c>
      <c r="Q44" s="2"/>
      <c r="R44" s="7">
        <f t="shared" si="16"/>
        <v>2.8357745811289359E-3</v>
      </c>
      <c r="S44" s="2"/>
      <c r="T44" s="6">
        <v>2290.248</v>
      </c>
      <c r="U44" s="2"/>
      <c r="V44" s="7">
        <f t="shared" si="17"/>
        <v>3.3367639516993799E-3</v>
      </c>
      <c r="W44" s="2"/>
      <c r="X44" s="6">
        <f t="shared" si="18"/>
        <v>-627.01800000000003</v>
      </c>
      <c r="Y44" s="2"/>
      <c r="Z44" s="7">
        <f t="shared" si="19"/>
        <v>-0.27377733765076973</v>
      </c>
    </row>
    <row r="45" spans="1:26" s="24" customFormat="1" hidden="1" outlineLevel="2" x14ac:dyDescent="0.3">
      <c r="A45" s="27"/>
      <c r="B45" s="11" t="str">
        <f>CONCATENATE("          ", "6113", " - ", "GROUP INSURANCE")</f>
        <v xml:space="preserve">          6113 - GROUP INSURANCE</v>
      </c>
      <c r="C45" s="11"/>
      <c r="D45" s="6">
        <v>4811.13</v>
      </c>
      <c r="E45" s="2"/>
      <c r="F45" s="7">
        <f t="shared" si="12"/>
        <v>1.1171387346185693E-2</v>
      </c>
      <c r="G45" s="2"/>
      <c r="H45" s="6">
        <v>7772.9230769230799</v>
      </c>
      <c r="I45" s="2"/>
      <c r="J45" s="7">
        <f t="shared" si="13"/>
        <v>1.7398392153574461E-2</v>
      </c>
      <c r="K45" s="2"/>
      <c r="L45" s="6">
        <f t="shared" si="14"/>
        <v>-2961.7930769230798</v>
      </c>
      <c r="M45" s="2"/>
      <c r="N45" s="7">
        <f t="shared" si="15"/>
        <v>-0.38103980286596489</v>
      </c>
      <c r="O45" s="11"/>
      <c r="P45" s="6">
        <v>9622.26</v>
      </c>
      <c r="Q45" s="2"/>
      <c r="R45" s="7">
        <f t="shared" si="16"/>
        <v>1.6405764879790355E-2</v>
      </c>
      <c r="S45" s="2"/>
      <c r="T45" s="6">
        <v>16155.0769230769</v>
      </c>
      <c r="U45" s="2"/>
      <c r="V45" s="7">
        <f t="shared" si="17"/>
        <v>2.3537048526558493E-2</v>
      </c>
      <c r="W45" s="2"/>
      <c r="X45" s="6">
        <f t="shared" si="18"/>
        <v>-6532.8169230768999</v>
      </c>
      <c r="Y45" s="2"/>
      <c r="Z45" s="7">
        <f t="shared" si="19"/>
        <v>-0.40438166615876797</v>
      </c>
    </row>
    <row r="46" spans="1:26" s="24" customFormat="1" hidden="1" outlineLevel="2" x14ac:dyDescent="0.3">
      <c r="A46" s="27"/>
      <c r="B46" s="11" t="str">
        <f>CONCATENATE("          ", "6114", " - ", "STATE UNEMPLOYMENT INSURANCE")</f>
        <v xml:space="preserve">          6114 - STATE UNEMPLOYMENT INSURANCE</v>
      </c>
      <c r="C46" s="11"/>
      <c r="D46" s="6">
        <v>163.22999999999999</v>
      </c>
      <c r="E46" s="2"/>
      <c r="F46" s="7">
        <f t="shared" si="12"/>
        <v>3.7901814262302007E-4</v>
      </c>
      <c r="G46" s="2"/>
      <c r="H46" s="6">
        <v>137.023384615385</v>
      </c>
      <c r="I46" s="2"/>
      <c r="J46" s="7">
        <f t="shared" si="13"/>
        <v>3.067039974737835E-4</v>
      </c>
      <c r="K46" s="2"/>
      <c r="L46" s="6">
        <f t="shared" si="14"/>
        <v>26.206615384614992</v>
      </c>
      <c r="M46" s="2"/>
      <c r="N46" s="7">
        <f t="shared" si="15"/>
        <v>0.1912565176971443</v>
      </c>
      <c r="O46" s="11"/>
      <c r="P46" s="6">
        <v>292.18</v>
      </c>
      <c r="Q46" s="2"/>
      <c r="R46" s="7">
        <f t="shared" si="16"/>
        <v>4.9816117861886363E-4</v>
      </c>
      <c r="S46" s="2"/>
      <c r="T46" s="6">
        <v>308.30261538461502</v>
      </c>
      <c r="U46" s="2"/>
      <c r="V46" s="7">
        <f t="shared" si="17"/>
        <v>4.4917976272876216E-4</v>
      </c>
      <c r="W46" s="2"/>
      <c r="X46" s="6">
        <f t="shared" si="18"/>
        <v>-16.122615384615017</v>
      </c>
      <c r="Y46" s="2"/>
      <c r="Z46" s="7">
        <f t="shared" si="19"/>
        <v>-5.229477331712435E-2</v>
      </c>
    </row>
    <row r="47" spans="1:26" s="24" customFormat="1" hidden="1" outlineLevel="2" x14ac:dyDescent="0.3">
      <c r="A47" s="27"/>
      <c r="B47" s="11" t="str">
        <f>CONCATENATE("          ", "6115", " - ", "P.E.R.S.")</f>
        <v xml:space="preserve">          6115 - P.E.R.S.</v>
      </c>
      <c r="C47" s="11"/>
      <c r="D47" s="6">
        <v>1579.48</v>
      </c>
      <c r="E47" s="2"/>
      <c r="F47" s="7">
        <f t="shared" si="12"/>
        <v>3.6675340066789669E-3</v>
      </c>
      <c r="G47" s="2"/>
      <c r="H47" s="6">
        <v>1413.3438461538501</v>
      </c>
      <c r="I47" s="2"/>
      <c r="J47" s="7">
        <f t="shared" si="13"/>
        <v>3.1635345210388778E-3</v>
      </c>
      <c r="K47" s="2"/>
      <c r="L47" s="6">
        <f t="shared" si="14"/>
        <v>166.13615384614991</v>
      </c>
      <c r="M47" s="2"/>
      <c r="N47" s="7">
        <f t="shared" si="15"/>
        <v>0.11754829109579969</v>
      </c>
      <c r="O47" s="11"/>
      <c r="P47" s="6">
        <v>3158.96</v>
      </c>
      <c r="Q47" s="2"/>
      <c r="R47" s="7">
        <f t="shared" si="16"/>
        <v>5.385964942192639E-3</v>
      </c>
      <c r="S47" s="2"/>
      <c r="T47" s="6">
        <v>3180.02365384615</v>
      </c>
      <c r="U47" s="2"/>
      <c r="V47" s="7">
        <f t="shared" si="17"/>
        <v>4.6331175897567339E-3</v>
      </c>
      <c r="W47" s="2"/>
      <c r="X47" s="6">
        <f t="shared" si="18"/>
        <v>-21.063653846149919</v>
      </c>
      <c r="Y47" s="2"/>
      <c r="Z47" s="7">
        <f t="shared" si="19"/>
        <v>-6.6237412481740558E-3</v>
      </c>
    </row>
    <row r="48" spans="1:26" s="24" customFormat="1" hidden="1" outlineLevel="2" x14ac:dyDescent="0.3">
      <c r="A48" s="27"/>
      <c r="B48" s="11" t="str">
        <f>CONCATENATE("          ", "6116", " - ", "EDUCATIONAL BENEFITS")</f>
        <v xml:space="preserve">          6116 - EDUCATIONAL BENEFITS</v>
      </c>
      <c r="C48" s="11"/>
      <c r="D48" s="6"/>
      <c r="E48" s="2"/>
      <c r="F48" s="7">
        <f t="shared" si="12"/>
        <v>0</v>
      </c>
      <c r="G48" s="2"/>
      <c r="H48" s="6">
        <v>0</v>
      </c>
      <c r="I48" s="2"/>
      <c r="J48" s="7">
        <f t="shared" si="13"/>
        <v>0</v>
      </c>
      <c r="K48" s="2"/>
      <c r="L48" s="6">
        <f t="shared" si="14"/>
        <v>0</v>
      </c>
      <c r="M48" s="2"/>
      <c r="N48" s="7">
        <f t="shared" si="15"/>
        <v>0</v>
      </c>
      <c r="O48" s="11"/>
      <c r="P48" s="6"/>
      <c r="Q48" s="2"/>
      <c r="R48" s="7">
        <f t="shared" si="16"/>
        <v>0</v>
      </c>
      <c r="S48" s="2"/>
      <c r="T48" s="6">
        <v>0</v>
      </c>
      <c r="U48" s="2"/>
      <c r="V48" s="7">
        <f t="shared" si="17"/>
        <v>0</v>
      </c>
      <c r="W48" s="2"/>
      <c r="X48" s="6">
        <f t="shared" si="18"/>
        <v>0</v>
      </c>
      <c r="Y48" s="2"/>
      <c r="Z48" s="7">
        <f t="shared" si="19"/>
        <v>0</v>
      </c>
    </row>
    <row r="49" spans="1:26" s="24" customFormat="1" hidden="1" outlineLevel="2" x14ac:dyDescent="0.3">
      <c r="A49" s="27"/>
      <c r="B49" s="11" t="str">
        <f>CONCATENATE("          ", "6118", " - ", "VACATION")</f>
        <v xml:space="preserve">          6118 - VACATION</v>
      </c>
      <c r="C49" s="11"/>
      <c r="D49" s="6">
        <v>1659.06</v>
      </c>
      <c r="E49" s="2"/>
      <c r="F49" s="7">
        <f t="shared" si="12"/>
        <v>3.8523178318945516E-3</v>
      </c>
      <c r="G49" s="2"/>
      <c r="H49" s="6">
        <v>1233.7115384615399</v>
      </c>
      <c r="I49" s="2"/>
      <c r="J49" s="7">
        <f t="shared" si="13"/>
        <v>2.7614575544005408E-3</v>
      </c>
      <c r="K49" s="2"/>
      <c r="L49" s="6">
        <f t="shared" si="14"/>
        <v>425.34846153846001</v>
      </c>
      <c r="M49" s="2"/>
      <c r="N49" s="7">
        <f t="shared" si="15"/>
        <v>0.34477140585786936</v>
      </c>
      <c r="O49" s="11"/>
      <c r="P49" s="6">
        <v>3318.12</v>
      </c>
      <c r="Q49" s="2"/>
      <c r="R49" s="7">
        <f t="shared" si="16"/>
        <v>5.6573296255692501E-3</v>
      </c>
      <c r="S49" s="2"/>
      <c r="T49" s="6">
        <v>2775.8509615384601</v>
      </c>
      <c r="U49" s="2"/>
      <c r="V49" s="7">
        <f t="shared" si="17"/>
        <v>4.0442604572743191E-3</v>
      </c>
      <c r="W49" s="2"/>
      <c r="X49" s="6">
        <f t="shared" si="18"/>
        <v>542.26903846153982</v>
      </c>
      <c r="Y49" s="2"/>
      <c r="Z49" s="7">
        <f t="shared" si="19"/>
        <v>0.19535236076255261</v>
      </c>
    </row>
    <row r="50" spans="1:26" s="24" customFormat="1" hidden="1" outlineLevel="2" x14ac:dyDescent="0.3">
      <c r="A50" s="27"/>
      <c r="B50" s="11" t="str">
        <f>CONCATENATE("          ", "6119", " - ", "SICK LEAVE")</f>
        <v xml:space="preserve">          6119 - SICK LEAVE</v>
      </c>
      <c r="C50" s="11"/>
      <c r="D50" s="6">
        <v>1120.42</v>
      </c>
      <c r="E50" s="2"/>
      <c r="F50" s="7">
        <f t="shared" si="12"/>
        <v>2.6016020790154029E-3</v>
      </c>
      <c r="G50" s="2"/>
      <c r="H50" s="6">
        <v>2666.0015384615399</v>
      </c>
      <c r="I50" s="2"/>
      <c r="J50" s="7">
        <f t="shared" si="13"/>
        <v>5.9673998815060842E-3</v>
      </c>
      <c r="K50" s="2"/>
      <c r="L50" s="6">
        <f t="shared" si="14"/>
        <v>-1545.5815384615398</v>
      </c>
      <c r="M50" s="2"/>
      <c r="N50" s="7">
        <f t="shared" si="15"/>
        <v>-0.57973767687825228</v>
      </c>
      <c r="O50" s="11"/>
      <c r="P50" s="6">
        <v>2240.84</v>
      </c>
      <c r="Q50" s="2"/>
      <c r="R50" s="7">
        <f t="shared" si="16"/>
        <v>3.8205883205431387E-3</v>
      </c>
      <c r="S50" s="2"/>
      <c r="T50" s="6">
        <v>5998.5034615384602</v>
      </c>
      <c r="U50" s="2"/>
      <c r="V50" s="7">
        <f t="shared" si="17"/>
        <v>8.7394859048476325E-3</v>
      </c>
      <c r="W50" s="2"/>
      <c r="X50" s="6">
        <f t="shared" si="18"/>
        <v>-3757.6634615384601</v>
      </c>
      <c r="Y50" s="2"/>
      <c r="Z50" s="7">
        <f t="shared" si="19"/>
        <v>-0.62643349055844622</v>
      </c>
    </row>
    <row r="51" spans="1:26" s="24" customFormat="1" hidden="1" outlineLevel="2" x14ac:dyDescent="0.3">
      <c r="A51" s="27"/>
      <c r="B51" s="11" t="str">
        <f>CONCATENATE("          ", "6156", " - ", "EMPLOYEE MEALS")</f>
        <v xml:space="preserve">          6156 - EMPLOYEE MEALS</v>
      </c>
      <c r="C51" s="11"/>
      <c r="D51" s="6">
        <v>689.18</v>
      </c>
      <c r="E51" s="2"/>
      <c r="F51" s="7">
        <f t="shared" si="12"/>
        <v>1.6002678645649264E-3</v>
      </c>
      <c r="G51" s="2"/>
      <c r="H51" s="6">
        <v>875</v>
      </c>
      <c r="I51" s="2"/>
      <c r="J51" s="7">
        <f t="shared" si="13"/>
        <v>1.9585415915892388E-3</v>
      </c>
      <c r="K51" s="2"/>
      <c r="L51" s="6">
        <f t="shared" si="14"/>
        <v>-185.82000000000005</v>
      </c>
      <c r="M51" s="2"/>
      <c r="N51" s="7">
        <f t="shared" si="15"/>
        <v>-0.21236571428571435</v>
      </c>
      <c r="O51" s="11"/>
      <c r="P51" s="6">
        <v>1076.9100000000001</v>
      </c>
      <c r="Q51" s="2"/>
      <c r="R51" s="7">
        <f t="shared" si="16"/>
        <v>1.836110462271341E-3</v>
      </c>
      <c r="S51" s="2"/>
      <c r="T51" s="6">
        <v>1750</v>
      </c>
      <c r="U51" s="2"/>
      <c r="V51" s="7">
        <f t="shared" si="17"/>
        <v>2.5496526644598816E-3</v>
      </c>
      <c r="W51" s="2"/>
      <c r="X51" s="6">
        <f t="shared" si="18"/>
        <v>-673.08999999999992</v>
      </c>
      <c r="Y51" s="2"/>
      <c r="Z51" s="7">
        <f t="shared" si="19"/>
        <v>-0.3846228571428571</v>
      </c>
    </row>
    <row r="52" spans="1:26" s="28" customFormat="1" outlineLevel="1" collapsed="1" x14ac:dyDescent="0.3">
      <c r="A52" s="29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SUM(OSRRefD22_1x_0)</f>
        <v>66607.640000000014</v>
      </c>
      <c r="E52" s="1"/>
      <c r="F52" s="5">
        <f t="shared" ref="F52:F62" si="20">IF(D$12=0,0,D52/D$12)</f>
        <v>0.15466215767507677</v>
      </c>
      <c r="G52" s="1"/>
      <c r="H52" s="1">
        <f>SUM(OSRRefH22_1x_0)</f>
        <v>62244.207692307704</v>
      </c>
      <c r="I52" s="1"/>
      <c r="J52" s="5">
        <f t="shared" ref="J52:J62" si="21">IF(H$12=0,0,H52/H$12)</f>
        <v>0.13932327954388971</v>
      </c>
      <c r="K52" s="1"/>
      <c r="L52" s="1">
        <f t="shared" ref="L52:L62" si="22">+D52-H52</f>
        <v>4363.4323076923101</v>
      </c>
      <c r="M52" s="1"/>
      <c r="N52" s="5">
        <f t="shared" ref="N52:N62" si="23">IF(H52=0,0,L52/H52)</f>
        <v>7.0101821028264996E-2</v>
      </c>
      <c r="O52" s="14"/>
      <c r="P52" s="1">
        <f>SUM(OSRRefP22_1x_0)</f>
        <v>125823.96</v>
      </c>
      <c r="Q52" s="1"/>
      <c r="R52" s="5">
        <f t="shared" ref="R52:R62" si="24">IF(P$12=0,0,P52/P$12)</f>
        <v>0.21452738795294937</v>
      </c>
      <c r="S52" s="1"/>
      <c r="T52" s="1">
        <f>SUM(OSRRefT22_1x_0)</f>
        <v>140049.46730769231</v>
      </c>
      <c r="U52" s="1"/>
      <c r="V52" s="5">
        <f t="shared" ref="V52:V62" si="25">IF(T$12=0,0,T52/T$12)</f>
        <v>0.20404428427271129</v>
      </c>
      <c r="W52" s="1"/>
      <c r="X52" s="1">
        <f t="shared" ref="X52:X62" si="26">+P52-T52</f>
        <v>-14225.5073076923</v>
      </c>
      <c r="Y52" s="1"/>
      <c r="Z52" s="5">
        <f t="shared" ref="Z52:Z62" si="27">IF(T52=0,0,X52/T52)</f>
        <v>-0.10157487622882914</v>
      </c>
    </row>
    <row r="53" spans="1:26" s="24" customFormat="1" hidden="1" outlineLevel="2" x14ac:dyDescent="0.3">
      <c r="A53" s="27"/>
      <c r="B53" s="11" t="str">
        <f>CONCATENATE("          ", "6001", " - ", "ADMINISTRATIVE SALARIES")</f>
        <v xml:space="preserve">          6001 - ADMINISTRATIVE SALARIES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3">
      <c r="A54" s="27"/>
      <c r="B54" s="11" t="str">
        <f>CONCATENATE("          ", "6002", " - ", "STAFF SALARIES")</f>
        <v xml:space="preserve">          6002 - STAFF SALARIES</v>
      </c>
      <c r="C54" s="11"/>
      <c r="D54" s="6">
        <v>17127.64</v>
      </c>
      <c r="E54" s="2"/>
      <c r="F54" s="7">
        <f t="shared" si="20"/>
        <v>3.9770178890619026E-2</v>
      </c>
      <c r="G54" s="2"/>
      <c r="H54" s="6">
        <v>14790.807692307701</v>
      </c>
      <c r="I54" s="2"/>
      <c r="J54" s="7">
        <f t="shared" si="21"/>
        <v>3.3106756615523064E-2</v>
      </c>
      <c r="K54" s="2"/>
      <c r="L54" s="6">
        <f t="shared" si="22"/>
        <v>2336.8323076922989</v>
      </c>
      <c r="M54" s="2"/>
      <c r="N54" s="7">
        <f t="shared" si="23"/>
        <v>0.15799220409765871</v>
      </c>
      <c r="O54" s="11"/>
      <c r="P54" s="6">
        <v>34253.46</v>
      </c>
      <c r="Q54" s="2"/>
      <c r="R54" s="7">
        <f t="shared" si="24"/>
        <v>5.8401478559018748E-2</v>
      </c>
      <c r="S54" s="2"/>
      <c r="T54" s="6">
        <v>33279.317307692298</v>
      </c>
      <c r="U54" s="2"/>
      <c r="V54" s="7">
        <f t="shared" si="25"/>
        <v>4.8486114311407723E-2</v>
      </c>
      <c r="W54" s="2"/>
      <c r="X54" s="6">
        <f t="shared" si="26"/>
        <v>974.14269230770151</v>
      </c>
      <c r="Y54" s="2"/>
      <c r="Z54" s="7">
        <f t="shared" si="27"/>
        <v>2.9271715020504185E-2</v>
      </c>
    </row>
    <row r="55" spans="1:26" s="24" customFormat="1" hidden="1" outlineLevel="2" x14ac:dyDescent="0.3">
      <c r="A55" s="27"/>
      <c r="B55" s="11" t="str">
        <f>CONCATENATE("          ", "6003", " - ", "STAFF HOURLY-9 MONTH")</f>
        <v xml:space="preserve">          6003 - STAFF HOURLY-9 MONTH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4" customFormat="1" hidden="1" outlineLevel="2" x14ac:dyDescent="0.3">
      <c r="A56" s="27"/>
      <c r="B56" s="11" t="str">
        <f>CONCATENATE("          ", "6004", " - ", "STAFF HOURLY")</f>
        <v xml:space="preserve">          6004 - STAFF HOURLY</v>
      </c>
      <c r="C56" s="11"/>
      <c r="D56" s="6">
        <v>8099.25</v>
      </c>
      <c r="E56" s="2"/>
      <c r="F56" s="7">
        <f t="shared" si="20"/>
        <v>1.880636336236902E-2</v>
      </c>
      <c r="G56" s="2"/>
      <c r="H56" s="6">
        <v>17630.400000000001</v>
      </c>
      <c r="I56" s="2"/>
      <c r="J56" s="7">
        <f t="shared" si="21"/>
        <v>3.946271048726277E-2</v>
      </c>
      <c r="K56" s="2"/>
      <c r="L56" s="6">
        <f t="shared" si="22"/>
        <v>-9531.1500000000015</v>
      </c>
      <c r="M56" s="2"/>
      <c r="N56" s="7">
        <f t="shared" si="23"/>
        <v>-0.54060883473999455</v>
      </c>
      <c r="O56" s="11"/>
      <c r="P56" s="6">
        <v>16445.080000000002</v>
      </c>
      <c r="Q56" s="2"/>
      <c r="R56" s="7">
        <f t="shared" si="24"/>
        <v>2.8038539377375254E-2</v>
      </c>
      <c r="S56" s="2"/>
      <c r="T56" s="6">
        <v>39668.400000000001</v>
      </c>
      <c r="U56" s="2"/>
      <c r="V56" s="7">
        <f t="shared" si="25"/>
        <v>5.7794652431348785E-2</v>
      </c>
      <c r="W56" s="2"/>
      <c r="X56" s="6">
        <f t="shared" si="26"/>
        <v>-23223.32</v>
      </c>
      <c r="Y56" s="2"/>
      <c r="Z56" s="7">
        <f t="shared" si="27"/>
        <v>-0.58543626665053294</v>
      </c>
    </row>
    <row r="57" spans="1:26" s="24" customFormat="1" hidden="1" outlineLevel="2" x14ac:dyDescent="0.3">
      <c r="A57" s="27"/>
      <c r="B57" s="11" t="str">
        <f>CONCATENATE("          ", "6005", " - ", "TEMPORARY WAGES-HOURLY")</f>
        <v xml:space="preserve">          6005 - TEMPORARY WAGES-HOURLY</v>
      </c>
      <c r="C57" s="11"/>
      <c r="D57" s="6">
        <v>3244.26</v>
      </c>
      <c r="E57" s="2"/>
      <c r="F57" s="7">
        <f t="shared" si="20"/>
        <v>7.5331336113836867E-3</v>
      </c>
      <c r="G57" s="2"/>
      <c r="H57" s="6">
        <v>0</v>
      </c>
      <c r="I57" s="2"/>
      <c r="J57" s="7">
        <f t="shared" si="21"/>
        <v>0</v>
      </c>
      <c r="K57" s="2"/>
      <c r="L57" s="6">
        <f t="shared" si="22"/>
        <v>3244.26</v>
      </c>
      <c r="M57" s="2"/>
      <c r="N57" s="7">
        <f t="shared" si="23"/>
        <v>0</v>
      </c>
      <c r="O57" s="11"/>
      <c r="P57" s="6">
        <v>6610.03</v>
      </c>
      <c r="Q57" s="2"/>
      <c r="R57" s="7">
        <f t="shared" si="24"/>
        <v>1.126997171437486E-2</v>
      </c>
      <c r="S57" s="2"/>
      <c r="T57" s="6">
        <v>0</v>
      </c>
      <c r="U57" s="2"/>
      <c r="V57" s="7">
        <f t="shared" si="25"/>
        <v>0</v>
      </c>
      <c r="W57" s="2"/>
      <c r="X57" s="6">
        <f t="shared" si="26"/>
        <v>6610.03</v>
      </c>
      <c r="Y57" s="2"/>
      <c r="Z57" s="7">
        <f t="shared" si="27"/>
        <v>0</v>
      </c>
    </row>
    <row r="58" spans="1:26" s="24" customFormat="1" hidden="1" outlineLevel="2" x14ac:dyDescent="0.3">
      <c r="A58" s="27"/>
      <c r="B58" s="11" t="str">
        <f>CONCATENATE("          ", "6006", " - ", "TEMPORARY PART TIME")</f>
        <v xml:space="preserve">          6006 - TEMPORARY PART TIME</v>
      </c>
      <c r="C58" s="11"/>
      <c r="D58" s="6"/>
      <c r="E58" s="2"/>
      <c r="F58" s="7">
        <f t="shared" si="20"/>
        <v>0</v>
      </c>
      <c r="G58" s="2"/>
      <c r="H58" s="6">
        <v>0</v>
      </c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/>
      <c r="Q58" s="2"/>
      <c r="R58" s="7">
        <f t="shared" si="24"/>
        <v>0</v>
      </c>
      <c r="S58" s="2"/>
      <c r="T58" s="6">
        <v>0</v>
      </c>
      <c r="U58" s="2"/>
      <c r="V58" s="7">
        <f t="shared" si="25"/>
        <v>0</v>
      </c>
      <c r="W58" s="2"/>
      <c r="X58" s="6">
        <f t="shared" si="26"/>
        <v>0</v>
      </c>
      <c r="Y58" s="2"/>
      <c r="Z58" s="7">
        <f t="shared" si="27"/>
        <v>0</v>
      </c>
    </row>
    <row r="59" spans="1:26" s="24" customFormat="1" hidden="1" outlineLevel="2" x14ac:dyDescent="0.3">
      <c r="A59" s="27"/>
      <c r="B59" s="11" t="str">
        <f>CONCATENATE("          ", "6007", " - ", "STUDENT HOURLY")</f>
        <v xml:space="preserve">          6007 - STUDENT HOURLY</v>
      </c>
      <c r="C59" s="11"/>
      <c r="D59" s="6">
        <v>28817.95</v>
      </c>
      <c r="E59" s="2"/>
      <c r="F59" s="7">
        <f t="shared" si="20"/>
        <v>6.6914941390694496E-2</v>
      </c>
      <c r="G59" s="2"/>
      <c r="H59" s="6">
        <v>2223</v>
      </c>
      <c r="I59" s="2"/>
      <c r="J59" s="7">
        <f t="shared" si="21"/>
        <v>4.9758148092604324E-3</v>
      </c>
      <c r="K59" s="2"/>
      <c r="L59" s="6">
        <f t="shared" si="22"/>
        <v>26594.95</v>
      </c>
      <c r="M59" s="2"/>
      <c r="N59" s="7">
        <f t="shared" si="23"/>
        <v>11.963540260908683</v>
      </c>
      <c r="O59" s="11"/>
      <c r="P59" s="6">
        <v>51378.66</v>
      </c>
      <c r="Q59" s="2"/>
      <c r="R59" s="7">
        <f t="shared" si="24"/>
        <v>8.7599609218488125E-2</v>
      </c>
      <c r="S59" s="2"/>
      <c r="T59" s="6">
        <v>5001.75</v>
      </c>
      <c r="U59" s="2"/>
      <c r="V59" s="7">
        <f t="shared" si="25"/>
        <v>7.2872715511212646E-3</v>
      </c>
      <c r="W59" s="2"/>
      <c r="X59" s="6">
        <f t="shared" si="26"/>
        <v>46376.91</v>
      </c>
      <c r="Y59" s="2"/>
      <c r="Z59" s="7">
        <f t="shared" si="27"/>
        <v>9.2721367521367526</v>
      </c>
    </row>
    <row r="60" spans="1:26" s="24" customFormat="1" hidden="1" outlineLevel="2" x14ac:dyDescent="0.3">
      <c r="A60" s="27"/>
      <c r="B60" s="11" t="str">
        <f>CONCATENATE("          ", "6008", " - ", "STUDENT HOURLY-FICA EXEMPT")</f>
        <v xml:space="preserve">          6008 - STUDENT HOURLY-FICA EXEMPT</v>
      </c>
      <c r="C60" s="11"/>
      <c r="D60" s="6">
        <v>9318.5400000000009</v>
      </c>
      <c r="E60" s="2"/>
      <c r="F60" s="7">
        <f t="shared" si="20"/>
        <v>2.1637540420010523E-2</v>
      </c>
      <c r="G60" s="2"/>
      <c r="H60" s="6">
        <v>27600</v>
      </c>
      <c r="I60" s="2"/>
      <c r="J60" s="7">
        <f t="shared" si="21"/>
        <v>6.1777997631843426E-2</v>
      </c>
      <c r="K60" s="2"/>
      <c r="L60" s="6">
        <f t="shared" si="22"/>
        <v>-18281.46</v>
      </c>
      <c r="M60" s="2"/>
      <c r="N60" s="7">
        <f t="shared" si="23"/>
        <v>-0.66237173913043479</v>
      </c>
      <c r="O60" s="11"/>
      <c r="P60" s="6">
        <v>17136.73</v>
      </c>
      <c r="Q60" s="2"/>
      <c r="R60" s="7">
        <f t="shared" si="24"/>
        <v>2.9217789083692373E-2</v>
      </c>
      <c r="S60" s="2"/>
      <c r="T60" s="6">
        <v>62100</v>
      </c>
      <c r="U60" s="2"/>
      <c r="V60" s="7">
        <f t="shared" si="25"/>
        <v>9.0476245978833511E-2</v>
      </c>
      <c r="W60" s="2"/>
      <c r="X60" s="6">
        <f t="shared" si="26"/>
        <v>-44963.270000000004</v>
      </c>
      <c r="Y60" s="2"/>
      <c r="Z60" s="7">
        <f t="shared" si="27"/>
        <v>-0.72404621578099848</v>
      </c>
    </row>
    <row r="61" spans="1:26" s="24" customFormat="1" hidden="1" outlineLevel="2" x14ac:dyDescent="0.3">
      <c r="A61" s="27"/>
      <c r="B61" s="11" t="str">
        <f>CONCATENATE("          ", "6009", " - ", "TEMPORARY-SEASONAL")</f>
        <v xml:space="preserve">          6009 - TEMPORARY-SEASONAL</v>
      </c>
      <c r="C61" s="11"/>
      <c r="D61" s="6"/>
      <c r="E61" s="2"/>
      <c r="F61" s="7">
        <f t="shared" si="20"/>
        <v>0</v>
      </c>
      <c r="G61" s="2"/>
      <c r="H61" s="6">
        <v>0</v>
      </c>
      <c r="I61" s="2"/>
      <c r="J61" s="7">
        <f t="shared" si="21"/>
        <v>0</v>
      </c>
      <c r="K61" s="2"/>
      <c r="L61" s="6">
        <f t="shared" si="22"/>
        <v>0</v>
      </c>
      <c r="M61" s="2"/>
      <c r="N61" s="7">
        <f t="shared" si="23"/>
        <v>0</v>
      </c>
      <c r="O61" s="11"/>
      <c r="P61" s="6"/>
      <c r="Q61" s="2"/>
      <c r="R61" s="7">
        <f t="shared" si="24"/>
        <v>0</v>
      </c>
      <c r="S61" s="2"/>
      <c r="T61" s="6">
        <v>0</v>
      </c>
      <c r="U61" s="2"/>
      <c r="V61" s="7">
        <f t="shared" si="25"/>
        <v>0</v>
      </c>
      <c r="W61" s="2"/>
      <c r="X61" s="6">
        <f t="shared" si="26"/>
        <v>0</v>
      </c>
      <c r="Y61" s="2"/>
      <c r="Z61" s="7">
        <f t="shared" si="27"/>
        <v>0</v>
      </c>
    </row>
    <row r="62" spans="1:26" s="24" customFormat="1" hidden="1" outlineLevel="2" x14ac:dyDescent="0.3">
      <c r="A62" s="27"/>
      <c r="B62" s="11" t="str">
        <f>CONCATENATE("          ", "6010", " - ", "GRATUITY")</f>
        <v xml:space="preserve">          6010 - GRATUITY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8" customFormat="1" outlineLevel="1" collapsed="1" x14ac:dyDescent="0.3">
      <c r="A63" s="29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SUM(OSRRefD22_2x_0)</f>
        <v>1263.1199999999999</v>
      </c>
      <c r="E63" s="1"/>
      <c r="F63" s="5">
        <f t="shared" ref="F63:F75" si="28">IF(D$12=0,0,D63/D$12)</f>
        <v>2.9329498027935372E-3</v>
      </c>
      <c r="G63" s="1"/>
      <c r="H63" s="1">
        <f>SUM(OSRRefH22_2x_0)</f>
        <v>100</v>
      </c>
      <c r="I63" s="1"/>
      <c r="J63" s="5">
        <f t="shared" ref="J63:J75" si="29">IF(H$12=0,0,H63/H$12)</f>
        <v>2.2383332475305588E-4</v>
      </c>
      <c r="K63" s="1"/>
      <c r="L63" s="1">
        <f t="shared" ref="L63:L75" si="30">+D63-H63</f>
        <v>1163.1199999999999</v>
      </c>
      <c r="M63" s="1"/>
      <c r="N63" s="5">
        <f t="shared" ref="N63:N75" si="31">IF(H63=0,0,L63/H63)</f>
        <v>11.6312</v>
      </c>
      <c r="O63" s="14"/>
      <c r="P63" s="1">
        <f>SUM(OSRRefP22_2x_0)</f>
        <v>1656.75</v>
      </c>
      <c r="Q63" s="1"/>
      <c r="R63" s="5">
        <f t="shared" ref="R63:R75" si="32">IF(P$12=0,0,P63/P$12)</f>
        <v>2.8247263080183522E-3</v>
      </c>
      <c r="S63" s="1"/>
      <c r="T63" s="1">
        <f>SUM(OSRRefT22_2x_0)</f>
        <v>1600</v>
      </c>
      <c r="U63" s="1"/>
      <c r="V63" s="5">
        <f t="shared" ref="V63:V75" si="33">IF(T$12=0,0,T63/T$12)</f>
        <v>2.3311110075061774E-3</v>
      </c>
      <c r="W63" s="1"/>
      <c r="X63" s="1">
        <f t="shared" ref="X63:X75" si="34">+P63-T63</f>
        <v>56.75</v>
      </c>
      <c r="Y63" s="1"/>
      <c r="Z63" s="5">
        <f t="shared" ref="Z63:Z75" si="35">IF(T63=0,0,X63/T63)</f>
        <v>3.546875E-2</v>
      </c>
    </row>
    <row r="64" spans="1:26" s="24" customFormat="1" hidden="1" outlineLevel="2" x14ac:dyDescent="0.3">
      <c r="A64" s="27"/>
      <c r="B64" s="11" t="str">
        <f>CONCATENATE("          ", "6362", " - ", "ADVERTISING EXPENSE")</f>
        <v xml:space="preserve">          6362 - ADVERTISING EXPENSE</v>
      </c>
      <c r="C64" s="11"/>
      <c r="D64" s="6">
        <v>1263.1199999999999</v>
      </c>
      <c r="E64" s="2"/>
      <c r="F64" s="7">
        <f t="shared" si="28"/>
        <v>2.9329498027935372E-3</v>
      </c>
      <c r="G64" s="2"/>
      <c r="H64" s="6">
        <v>100</v>
      </c>
      <c r="I64" s="2"/>
      <c r="J64" s="7">
        <f t="shared" si="29"/>
        <v>2.2383332475305588E-4</v>
      </c>
      <c r="K64" s="2"/>
      <c r="L64" s="6">
        <f t="shared" si="30"/>
        <v>1163.1199999999999</v>
      </c>
      <c r="M64" s="2"/>
      <c r="N64" s="7">
        <f t="shared" si="31"/>
        <v>11.6312</v>
      </c>
      <c r="O64" s="11"/>
      <c r="P64" s="6">
        <v>1656.75</v>
      </c>
      <c r="Q64" s="2"/>
      <c r="R64" s="7">
        <f t="shared" si="32"/>
        <v>2.8247263080183522E-3</v>
      </c>
      <c r="S64" s="2"/>
      <c r="T64" s="6">
        <v>1600</v>
      </c>
      <c r="U64" s="2"/>
      <c r="V64" s="7">
        <f t="shared" si="33"/>
        <v>2.3311110075061774E-3</v>
      </c>
      <c r="W64" s="2"/>
      <c r="X64" s="6">
        <f t="shared" si="34"/>
        <v>56.75</v>
      </c>
      <c r="Y64" s="2"/>
      <c r="Z64" s="7">
        <f t="shared" si="35"/>
        <v>3.546875E-2</v>
      </c>
    </row>
    <row r="65" spans="1:26" s="28" customFormat="1" outlineLevel="1" collapsed="1" x14ac:dyDescent="0.3">
      <c r="A65" s="29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SUM(OSRRefD22_3x_0)</f>
        <v>7.0000000000000007E-2</v>
      </c>
      <c r="E65" s="1"/>
      <c r="F65" s="5">
        <f t="shared" si="28"/>
        <v>1.6253917774680762E-7</v>
      </c>
      <c r="G65" s="1"/>
      <c r="H65" s="1">
        <f>SUM(OSRRefH22_3x_0)</f>
        <v>10</v>
      </c>
      <c r="I65" s="1"/>
      <c r="J65" s="5">
        <f t="shared" si="29"/>
        <v>2.238333247530559E-5</v>
      </c>
      <c r="K65" s="1"/>
      <c r="L65" s="1">
        <f t="shared" si="30"/>
        <v>-9.93</v>
      </c>
      <c r="M65" s="1"/>
      <c r="N65" s="5">
        <f t="shared" si="31"/>
        <v>-0.99299999999999999</v>
      </c>
      <c r="O65" s="14"/>
      <c r="P65" s="1">
        <f>SUM(OSRRefP22_3x_0)</f>
        <v>0.67</v>
      </c>
      <c r="Q65" s="1"/>
      <c r="R65" s="5">
        <f t="shared" si="32"/>
        <v>1.1423368802609302E-6</v>
      </c>
      <c r="S65" s="1"/>
      <c r="T65" s="1">
        <f>SUM(OSRRefT22_3x_0)</f>
        <v>20</v>
      </c>
      <c r="U65" s="1"/>
      <c r="V65" s="5">
        <f t="shared" si="33"/>
        <v>2.9138887593827217E-5</v>
      </c>
      <c r="W65" s="1"/>
      <c r="X65" s="1">
        <f t="shared" si="34"/>
        <v>-19.329999999999998</v>
      </c>
      <c r="Y65" s="1"/>
      <c r="Z65" s="5">
        <f t="shared" si="35"/>
        <v>-0.96649999999999991</v>
      </c>
    </row>
    <row r="66" spans="1:26" s="24" customFormat="1" hidden="1" outlineLevel="2" x14ac:dyDescent="0.3">
      <c r="A66" s="27"/>
      <c r="B66" s="11" t="str">
        <f>CONCATENATE("          ", "6272", " - ", "CASH (OVER/SHORT)")</f>
        <v xml:space="preserve">          6272 - CASH (OVER/SHORT)</v>
      </c>
      <c r="C66" s="11"/>
      <c r="D66" s="6">
        <v>7.0000000000000007E-2</v>
      </c>
      <c r="E66" s="2"/>
      <c r="F66" s="7">
        <f t="shared" si="28"/>
        <v>1.6253917774680762E-7</v>
      </c>
      <c r="G66" s="2"/>
      <c r="H66" s="6">
        <v>10</v>
      </c>
      <c r="I66" s="2"/>
      <c r="J66" s="7">
        <f t="shared" si="29"/>
        <v>2.238333247530559E-5</v>
      </c>
      <c r="K66" s="2"/>
      <c r="L66" s="6">
        <f t="shared" si="30"/>
        <v>-9.93</v>
      </c>
      <c r="M66" s="2"/>
      <c r="N66" s="7">
        <f t="shared" si="31"/>
        <v>-0.99299999999999999</v>
      </c>
      <c r="O66" s="11"/>
      <c r="P66" s="6">
        <v>0.67</v>
      </c>
      <c r="Q66" s="2"/>
      <c r="R66" s="7">
        <f t="shared" si="32"/>
        <v>1.1423368802609302E-6</v>
      </c>
      <c r="S66" s="2"/>
      <c r="T66" s="6">
        <v>20</v>
      </c>
      <c r="U66" s="2"/>
      <c r="V66" s="7">
        <f t="shared" si="33"/>
        <v>2.9138887593827217E-5</v>
      </c>
      <c r="W66" s="2"/>
      <c r="X66" s="6">
        <f t="shared" si="34"/>
        <v>-19.329999999999998</v>
      </c>
      <c r="Y66" s="2"/>
      <c r="Z66" s="7">
        <f t="shared" si="35"/>
        <v>-0.96649999999999991</v>
      </c>
    </row>
    <row r="67" spans="1:26" s="28" customFormat="1" outlineLevel="1" collapsed="1" x14ac:dyDescent="0.3">
      <c r="A67" s="29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SUM(OSRRefD22_4x_0)</f>
        <v>614.21</v>
      </c>
      <c r="E67" s="1"/>
      <c r="F67" s="5">
        <f t="shared" si="28"/>
        <v>1.4261884051980959E-3</v>
      </c>
      <c r="G67" s="1"/>
      <c r="H67" s="1">
        <f>SUM(OSRRefH22_4x_0)</f>
        <v>507</v>
      </c>
      <c r="I67" s="1"/>
      <c r="J67" s="5">
        <f t="shared" si="29"/>
        <v>1.1348349564979934E-3</v>
      </c>
      <c r="K67" s="1"/>
      <c r="L67" s="1">
        <f t="shared" si="30"/>
        <v>107.21000000000004</v>
      </c>
      <c r="M67" s="1"/>
      <c r="N67" s="5">
        <f t="shared" si="31"/>
        <v>0.21145956607495076</v>
      </c>
      <c r="O67" s="14"/>
      <c r="P67" s="1">
        <f>SUM(OSRRefP22_4x_0)</f>
        <v>1106.53</v>
      </c>
      <c r="Q67" s="1"/>
      <c r="R67" s="5">
        <f t="shared" si="32"/>
        <v>1.8866119822613836E-3</v>
      </c>
      <c r="S67" s="1"/>
      <c r="T67" s="1">
        <f>SUM(OSRRefT22_4x_0)</f>
        <v>1104</v>
      </c>
      <c r="U67" s="1"/>
      <c r="V67" s="5">
        <f t="shared" si="33"/>
        <v>1.6084665951792624E-3</v>
      </c>
      <c r="W67" s="1"/>
      <c r="X67" s="1">
        <f t="shared" si="34"/>
        <v>2.5299999999999727</v>
      </c>
      <c r="Y67" s="1"/>
      <c r="Z67" s="5">
        <f t="shared" si="35"/>
        <v>2.291666666666642E-3</v>
      </c>
    </row>
    <row r="68" spans="1:26" s="24" customFormat="1" hidden="1" outlineLevel="2" x14ac:dyDescent="0.3">
      <c r="A68" s="27"/>
      <c r="B68" s="11" t="str">
        <f>CONCATENATE("          ", "6381", " - ", "BANK/CREDIT CARD FEES")</f>
        <v xml:space="preserve">          6381 - BANK/CREDIT CARD FEES</v>
      </c>
      <c r="C68" s="11"/>
      <c r="D68" s="6">
        <v>614.21</v>
      </c>
      <c r="E68" s="2"/>
      <c r="F68" s="7">
        <f t="shared" si="28"/>
        <v>1.4261884051980959E-3</v>
      </c>
      <c r="G68" s="2"/>
      <c r="H68" s="6">
        <v>507</v>
      </c>
      <c r="I68" s="2"/>
      <c r="J68" s="7">
        <f t="shared" si="29"/>
        <v>1.1348349564979934E-3</v>
      </c>
      <c r="K68" s="2"/>
      <c r="L68" s="6">
        <f t="shared" si="30"/>
        <v>107.21000000000004</v>
      </c>
      <c r="M68" s="2"/>
      <c r="N68" s="7">
        <f t="shared" si="31"/>
        <v>0.21145956607495076</v>
      </c>
      <c r="O68" s="11"/>
      <c r="P68" s="6">
        <v>1106.53</v>
      </c>
      <c r="Q68" s="2"/>
      <c r="R68" s="7">
        <f t="shared" si="32"/>
        <v>1.8866119822613836E-3</v>
      </c>
      <c r="S68" s="2"/>
      <c r="T68" s="6">
        <v>1104</v>
      </c>
      <c r="U68" s="2"/>
      <c r="V68" s="7">
        <f t="shared" si="33"/>
        <v>1.6084665951792624E-3</v>
      </c>
      <c r="W68" s="2"/>
      <c r="X68" s="6">
        <f t="shared" si="34"/>
        <v>2.5299999999999727</v>
      </c>
      <c r="Y68" s="2"/>
      <c r="Z68" s="7">
        <f t="shared" si="35"/>
        <v>2.291666666666642E-3</v>
      </c>
    </row>
    <row r="69" spans="1:26" s="28" customFormat="1" outlineLevel="1" collapsed="1" x14ac:dyDescent="0.3">
      <c r="A69" s="29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SUM(OSRRefD22_5x_0)</f>
        <v>-66.11</v>
      </c>
      <c r="E69" s="1"/>
      <c r="F69" s="5">
        <f t="shared" si="28"/>
        <v>-1.5350664344059215E-4</v>
      </c>
      <c r="G69" s="1"/>
      <c r="H69" s="1">
        <f>SUM(OSRRefH22_5x_0)</f>
        <v>0</v>
      </c>
      <c r="I69" s="1"/>
      <c r="J69" s="5">
        <f t="shared" si="29"/>
        <v>0</v>
      </c>
      <c r="K69" s="1"/>
      <c r="L69" s="1">
        <f t="shared" si="30"/>
        <v>-66.11</v>
      </c>
      <c r="M69" s="1"/>
      <c r="N69" s="5">
        <f t="shared" si="31"/>
        <v>0</v>
      </c>
      <c r="O69" s="14"/>
      <c r="P69" s="1">
        <f>SUM(OSRRefP22_5x_0)</f>
        <v>-66.11</v>
      </c>
      <c r="Q69" s="1"/>
      <c r="R69" s="5">
        <f t="shared" si="32"/>
        <v>-1.1271625545380611E-4</v>
      </c>
      <c r="S69" s="1"/>
      <c r="T69" s="1">
        <f>SUM(OSRRefT22_5x_0)</f>
        <v>0</v>
      </c>
      <c r="U69" s="1"/>
      <c r="V69" s="5">
        <f t="shared" si="33"/>
        <v>0</v>
      </c>
      <c r="W69" s="1"/>
      <c r="X69" s="1">
        <f t="shared" si="34"/>
        <v>-66.11</v>
      </c>
      <c r="Y69" s="1"/>
      <c r="Z69" s="5">
        <f t="shared" si="35"/>
        <v>0</v>
      </c>
    </row>
    <row r="70" spans="1:26" s="24" customFormat="1" hidden="1" outlineLevel="2" x14ac:dyDescent="0.3">
      <c r="A70" s="27"/>
      <c r="B70" s="11" t="str">
        <f>CONCATENATE("          ", "9175", " - ", "EARNED DISCOUNTS")</f>
        <v xml:space="preserve">          9175 - EARNED DISCOUNTS</v>
      </c>
      <c r="C70" s="11"/>
      <c r="D70" s="6">
        <v>-66.11</v>
      </c>
      <c r="E70" s="2"/>
      <c r="F70" s="7">
        <f t="shared" si="28"/>
        <v>-1.5350664344059215E-4</v>
      </c>
      <c r="G70" s="2"/>
      <c r="H70" s="6"/>
      <c r="I70" s="2"/>
      <c r="J70" s="7">
        <f t="shared" si="29"/>
        <v>0</v>
      </c>
      <c r="K70" s="2"/>
      <c r="L70" s="6">
        <f t="shared" si="30"/>
        <v>-66.11</v>
      </c>
      <c r="M70" s="2"/>
      <c r="N70" s="7">
        <f t="shared" si="31"/>
        <v>0</v>
      </c>
      <c r="O70" s="11"/>
      <c r="P70" s="6">
        <v>-66.11</v>
      </c>
      <c r="Q70" s="2"/>
      <c r="R70" s="7">
        <f t="shared" si="32"/>
        <v>-1.1271625545380611E-4</v>
      </c>
      <c r="S70" s="2"/>
      <c r="T70" s="6"/>
      <c r="U70" s="2"/>
      <c r="V70" s="7">
        <f t="shared" si="33"/>
        <v>0</v>
      </c>
      <c r="W70" s="2"/>
      <c r="X70" s="6">
        <f t="shared" si="34"/>
        <v>-66.11</v>
      </c>
      <c r="Y70" s="2"/>
      <c r="Z70" s="7">
        <f t="shared" si="35"/>
        <v>0</v>
      </c>
    </row>
    <row r="71" spans="1:26" s="28" customFormat="1" outlineLevel="1" collapsed="1" x14ac:dyDescent="0.3">
      <c r="A71" s="29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SUM(OSRRefD22_6x_0)</f>
        <v>0</v>
      </c>
      <c r="E71" s="1"/>
      <c r="F71" s="5">
        <f t="shared" si="28"/>
        <v>0</v>
      </c>
      <c r="G71" s="1"/>
      <c r="H71" s="1">
        <f>SUM(OSRRefH22_6x_0)</f>
        <v>75</v>
      </c>
      <c r="I71" s="1"/>
      <c r="J71" s="5">
        <f t="shared" si="29"/>
        <v>1.6787499356479192E-4</v>
      </c>
      <c r="K71" s="1"/>
      <c r="L71" s="1">
        <f t="shared" si="30"/>
        <v>-75</v>
      </c>
      <c r="M71" s="1"/>
      <c r="N71" s="5">
        <f t="shared" si="31"/>
        <v>-1</v>
      </c>
      <c r="O71" s="14"/>
      <c r="P71" s="1">
        <f>SUM(OSRRefP22_6x_0)</f>
        <v>216.44</v>
      </c>
      <c r="Q71" s="1"/>
      <c r="R71" s="5">
        <f t="shared" si="32"/>
        <v>3.6902596173682943E-4</v>
      </c>
      <c r="S71" s="1"/>
      <c r="T71" s="1">
        <f>SUM(OSRRefT22_6x_0)</f>
        <v>150</v>
      </c>
      <c r="U71" s="1"/>
      <c r="V71" s="5">
        <f t="shared" si="33"/>
        <v>2.1854165695370413E-4</v>
      </c>
      <c r="W71" s="1"/>
      <c r="X71" s="1">
        <f t="shared" si="34"/>
        <v>66.44</v>
      </c>
      <c r="Y71" s="1"/>
      <c r="Z71" s="5">
        <f t="shared" si="35"/>
        <v>0.44293333333333335</v>
      </c>
    </row>
    <row r="72" spans="1:26" s="24" customFormat="1" hidden="1" outlineLevel="2" x14ac:dyDescent="0.3">
      <c r="A72" s="27"/>
      <c r="B72" s="11" t="str">
        <f>CONCATENATE("          ", "6277", " - ", "EMPLOYEE APPRECIATION")</f>
        <v xml:space="preserve">          6277 - EMPLOYEE APPRECIATION</v>
      </c>
      <c r="C72" s="11"/>
      <c r="D72" s="6"/>
      <c r="E72" s="2"/>
      <c r="F72" s="7">
        <f t="shared" si="28"/>
        <v>0</v>
      </c>
      <c r="G72" s="2"/>
      <c r="H72" s="6">
        <v>75</v>
      </c>
      <c r="I72" s="2"/>
      <c r="J72" s="7">
        <f t="shared" si="29"/>
        <v>1.6787499356479192E-4</v>
      </c>
      <c r="K72" s="2"/>
      <c r="L72" s="6">
        <f t="shared" si="30"/>
        <v>-75</v>
      </c>
      <c r="M72" s="2"/>
      <c r="N72" s="7">
        <f t="shared" si="31"/>
        <v>-1</v>
      </c>
      <c r="O72" s="11"/>
      <c r="P72" s="6">
        <v>216.44</v>
      </c>
      <c r="Q72" s="2"/>
      <c r="R72" s="7">
        <f t="shared" si="32"/>
        <v>3.6902596173682943E-4</v>
      </c>
      <c r="S72" s="2"/>
      <c r="T72" s="6">
        <v>150</v>
      </c>
      <c r="U72" s="2"/>
      <c r="V72" s="7">
        <f t="shared" si="33"/>
        <v>2.1854165695370413E-4</v>
      </c>
      <c r="W72" s="2"/>
      <c r="X72" s="6">
        <f t="shared" si="34"/>
        <v>66.44</v>
      </c>
      <c r="Y72" s="2"/>
      <c r="Z72" s="7">
        <f t="shared" si="35"/>
        <v>0.44293333333333335</v>
      </c>
    </row>
    <row r="73" spans="1:26" s="28" customFormat="1" outlineLevel="1" collapsed="1" x14ac:dyDescent="0.3">
      <c r="A73" s="29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SUM(OSRRefD22_7x_0)</f>
        <v>16.16</v>
      </c>
      <c r="E73" s="1"/>
      <c r="F73" s="5">
        <f t="shared" si="28"/>
        <v>3.7523330176977298E-5</v>
      </c>
      <c r="G73" s="1"/>
      <c r="H73" s="1">
        <f>SUM(OSRRefH22_7x_0)</f>
        <v>50</v>
      </c>
      <c r="I73" s="1"/>
      <c r="J73" s="5">
        <f t="shared" si="29"/>
        <v>1.1191666237652794E-4</v>
      </c>
      <c r="K73" s="1"/>
      <c r="L73" s="1">
        <f t="shared" si="30"/>
        <v>-33.840000000000003</v>
      </c>
      <c r="M73" s="1"/>
      <c r="N73" s="5">
        <f t="shared" si="31"/>
        <v>-0.67680000000000007</v>
      </c>
      <c r="O73" s="14"/>
      <c r="P73" s="1">
        <f>SUM(OSRRefP22_7x_0)</f>
        <v>873.29</v>
      </c>
      <c r="Q73" s="1"/>
      <c r="R73" s="5">
        <f t="shared" si="32"/>
        <v>1.488942349497116E-3</v>
      </c>
      <c r="S73" s="1"/>
      <c r="T73" s="1">
        <f>SUM(OSRRefT22_7x_0)</f>
        <v>100</v>
      </c>
      <c r="U73" s="1"/>
      <c r="V73" s="5">
        <f t="shared" si="33"/>
        <v>1.4569443796913609E-4</v>
      </c>
      <c r="W73" s="1"/>
      <c r="X73" s="1">
        <f t="shared" si="34"/>
        <v>773.29</v>
      </c>
      <c r="Y73" s="1"/>
      <c r="Z73" s="5">
        <f t="shared" si="35"/>
        <v>7.7328999999999999</v>
      </c>
    </row>
    <row r="74" spans="1:26" s="24" customFormat="1" hidden="1" outlineLevel="2" x14ac:dyDescent="0.3">
      <c r="A74" s="27"/>
      <c r="B74" s="11" t="str">
        <f>CONCATENATE("          ", "6305", " - ", "FREIGHT OUT")</f>
        <v xml:space="preserve">          6305 - FREIGHT OUT</v>
      </c>
      <c r="C74" s="11"/>
      <c r="D74" s="6">
        <v>16.16</v>
      </c>
      <c r="E74" s="2"/>
      <c r="F74" s="7">
        <f t="shared" si="28"/>
        <v>3.7523330176977298E-5</v>
      </c>
      <c r="G74" s="2"/>
      <c r="H74" s="6">
        <v>50</v>
      </c>
      <c r="I74" s="2"/>
      <c r="J74" s="7">
        <f t="shared" si="29"/>
        <v>1.1191666237652794E-4</v>
      </c>
      <c r="K74" s="2"/>
      <c r="L74" s="6">
        <f t="shared" si="30"/>
        <v>-33.840000000000003</v>
      </c>
      <c r="M74" s="2"/>
      <c r="N74" s="7">
        <f t="shared" si="31"/>
        <v>-0.67680000000000007</v>
      </c>
      <c r="O74" s="11"/>
      <c r="P74" s="6">
        <v>861.87</v>
      </c>
      <c r="Q74" s="2"/>
      <c r="R74" s="7">
        <f t="shared" si="32"/>
        <v>1.4694714731201312E-3</v>
      </c>
      <c r="S74" s="2"/>
      <c r="T74" s="6">
        <v>100</v>
      </c>
      <c r="U74" s="2"/>
      <c r="V74" s="7">
        <f t="shared" si="33"/>
        <v>1.4569443796913609E-4</v>
      </c>
      <c r="W74" s="2"/>
      <c r="X74" s="6">
        <f t="shared" si="34"/>
        <v>761.87</v>
      </c>
      <c r="Y74" s="2"/>
      <c r="Z74" s="7">
        <f t="shared" si="35"/>
        <v>7.6187000000000005</v>
      </c>
    </row>
    <row r="75" spans="1:26" s="24" customFormat="1" hidden="1" outlineLevel="2" x14ac:dyDescent="0.3">
      <c r="A75" s="27"/>
      <c r="B75" s="11" t="str">
        <f>CONCATENATE("          ", "6307", " - ", "POSTAGE")</f>
        <v xml:space="preserve">          6307 - POSTAGE</v>
      </c>
      <c r="C75" s="11"/>
      <c r="D75" s="6"/>
      <c r="E75" s="2"/>
      <c r="F75" s="7">
        <f t="shared" si="28"/>
        <v>0</v>
      </c>
      <c r="G75" s="2"/>
      <c r="H75" s="6"/>
      <c r="I75" s="2"/>
      <c r="J75" s="7">
        <f t="shared" si="29"/>
        <v>0</v>
      </c>
      <c r="K75" s="2"/>
      <c r="L75" s="6">
        <f t="shared" si="30"/>
        <v>0</v>
      </c>
      <c r="M75" s="2"/>
      <c r="N75" s="7">
        <f t="shared" si="31"/>
        <v>0</v>
      </c>
      <c r="O75" s="11"/>
      <c r="P75" s="6">
        <v>11.42</v>
      </c>
      <c r="Q75" s="2"/>
      <c r="R75" s="7">
        <f t="shared" si="32"/>
        <v>1.9470876376984811E-5</v>
      </c>
      <c r="S75" s="2"/>
      <c r="T75" s="6"/>
      <c r="U75" s="2"/>
      <c r="V75" s="7">
        <f t="shared" si="33"/>
        <v>0</v>
      </c>
      <c r="W75" s="2"/>
      <c r="X75" s="6">
        <f t="shared" si="34"/>
        <v>11.42</v>
      </c>
      <c r="Y75" s="2"/>
      <c r="Z75" s="7">
        <f t="shared" si="35"/>
        <v>0</v>
      </c>
    </row>
    <row r="76" spans="1:26" s="28" customFormat="1" outlineLevel="1" collapsed="1" x14ac:dyDescent="0.3">
      <c r="A76" s="29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SUM(OSRRefD22_8x_0)</f>
        <v>0</v>
      </c>
      <c r="E76" s="1"/>
      <c r="F76" s="5">
        <f t="shared" ref="F76:F78" si="36">IF(D$12=0,0,D76/D$12)</f>
        <v>0</v>
      </c>
      <c r="G76" s="1"/>
      <c r="H76" s="1">
        <f>SUM(OSRRefH22_8x_0)</f>
        <v>0</v>
      </c>
      <c r="I76" s="1"/>
      <c r="J76" s="5">
        <f t="shared" ref="J76:J78" si="37">IF(H$12=0,0,H76/H$12)</f>
        <v>0</v>
      </c>
      <c r="K76" s="1"/>
      <c r="L76" s="1">
        <f t="shared" ref="L76:L78" si="38">+D76-H76</f>
        <v>0</v>
      </c>
      <c r="M76" s="1"/>
      <c r="N76" s="5">
        <f t="shared" ref="N76:N78" si="39">IF(H76=0,0,L76/H76)</f>
        <v>0</v>
      </c>
      <c r="O76" s="14"/>
      <c r="P76" s="1">
        <f>SUM(OSRRefP22_8x_0)</f>
        <v>0</v>
      </c>
      <c r="Q76" s="1"/>
      <c r="R76" s="5">
        <f t="shared" ref="R76:R78" si="40">IF(P$12=0,0,P76/P$12)</f>
        <v>0</v>
      </c>
      <c r="S76" s="1"/>
      <c r="T76" s="1">
        <f>SUM(OSRRefT22_8x_0)</f>
        <v>125</v>
      </c>
      <c r="U76" s="1"/>
      <c r="V76" s="5">
        <f t="shared" ref="V76:V78" si="41">IF(T$12=0,0,T76/T$12)</f>
        <v>1.8211804746142012E-4</v>
      </c>
      <c r="W76" s="1"/>
      <c r="X76" s="1">
        <f t="shared" ref="X76:X78" si="42">+P76-T76</f>
        <v>-125</v>
      </c>
      <c r="Y76" s="1"/>
      <c r="Z76" s="5">
        <f t="shared" ref="Z76:Z78" si="43">IF(T76=0,0,X76/T76)</f>
        <v>-1</v>
      </c>
    </row>
    <row r="77" spans="1:26" s="24" customFormat="1" hidden="1" outlineLevel="2" x14ac:dyDescent="0.3">
      <c r="A77" s="27"/>
      <c r="B77" s="11" t="str">
        <f>CONCATENATE("          ", "6276", " - ", "PROPERTY TAX")</f>
        <v xml:space="preserve">          6276 - PROPERTY TAX</v>
      </c>
      <c r="C77" s="11"/>
      <c r="D77" s="6"/>
      <c r="E77" s="2"/>
      <c r="F77" s="7">
        <f t="shared" si="36"/>
        <v>0</v>
      </c>
      <c r="G77" s="2"/>
      <c r="H77" s="6"/>
      <c r="I77" s="2"/>
      <c r="J77" s="7">
        <f t="shared" si="37"/>
        <v>0</v>
      </c>
      <c r="K77" s="2"/>
      <c r="L77" s="6">
        <f t="shared" si="38"/>
        <v>0</v>
      </c>
      <c r="M77" s="2"/>
      <c r="N77" s="7">
        <f t="shared" si="39"/>
        <v>0</v>
      </c>
      <c r="O77" s="11"/>
      <c r="P77" s="6"/>
      <c r="Q77" s="2"/>
      <c r="R77" s="7">
        <f t="shared" si="40"/>
        <v>0</v>
      </c>
      <c r="S77" s="2"/>
      <c r="T77" s="6">
        <v>125</v>
      </c>
      <c r="U77" s="2"/>
      <c r="V77" s="7">
        <f t="shared" si="41"/>
        <v>1.8211804746142012E-4</v>
      </c>
      <c r="W77" s="2"/>
      <c r="X77" s="6">
        <f t="shared" si="42"/>
        <v>-125</v>
      </c>
      <c r="Y77" s="2"/>
      <c r="Z77" s="7">
        <f t="shared" si="43"/>
        <v>-1</v>
      </c>
    </row>
    <row r="78" spans="1:26" s="24" customFormat="1" hidden="1" outlineLevel="2" x14ac:dyDescent="0.3">
      <c r="A78" s="27"/>
      <c r="B78" s="11" t="str">
        <f>CONCATENATE("          ", "6279", " - ", "GENERAL EXPENSE")</f>
        <v xml:space="preserve">          6279 - GENERAL EXPENSE</v>
      </c>
      <c r="C78" s="11"/>
      <c r="D78" s="6"/>
      <c r="E78" s="2"/>
      <c r="F78" s="7">
        <f t="shared" si="36"/>
        <v>0</v>
      </c>
      <c r="G78" s="2"/>
      <c r="H78" s="6">
        <v>0</v>
      </c>
      <c r="I78" s="2"/>
      <c r="J78" s="7">
        <f t="shared" si="37"/>
        <v>0</v>
      </c>
      <c r="K78" s="2"/>
      <c r="L78" s="6">
        <f t="shared" si="38"/>
        <v>0</v>
      </c>
      <c r="M78" s="2"/>
      <c r="N78" s="7">
        <f t="shared" si="39"/>
        <v>0</v>
      </c>
      <c r="O78" s="11"/>
      <c r="P78" s="6"/>
      <c r="Q78" s="2"/>
      <c r="R78" s="7">
        <f t="shared" si="40"/>
        <v>0</v>
      </c>
      <c r="S78" s="2"/>
      <c r="T78" s="6">
        <v>0</v>
      </c>
      <c r="U78" s="2"/>
      <c r="V78" s="7">
        <f t="shared" si="41"/>
        <v>0</v>
      </c>
      <c r="W78" s="2"/>
      <c r="X78" s="6">
        <f t="shared" si="42"/>
        <v>0</v>
      </c>
      <c r="Y78" s="2"/>
      <c r="Z78" s="7">
        <f t="shared" si="43"/>
        <v>0</v>
      </c>
    </row>
    <row r="79" spans="1:26" s="28" customFormat="1" outlineLevel="1" collapsed="1" x14ac:dyDescent="0.3">
      <c r="A79" s="29"/>
      <c r="B79" s="14" t="str">
        <f>CONCATENATE("     ","Insurance                                         ")</f>
        <v xml:space="preserve">     Insurance                                         </v>
      </c>
      <c r="C79" s="14"/>
      <c r="D79" s="1">
        <f>SUM(OSRRefD22_9x_0)</f>
        <v>219.08</v>
      </c>
      <c r="E79" s="1"/>
      <c r="F79" s="5">
        <f t="shared" ref="F79:F89" si="44">IF(D$12=0,0,D79/D$12)</f>
        <v>5.0870118658243729E-4</v>
      </c>
      <c r="G79" s="1"/>
      <c r="H79" s="1">
        <f>SUM(OSRRefH22_9x_0)</f>
        <v>175</v>
      </c>
      <c r="I79" s="1"/>
      <c r="J79" s="5">
        <f t="shared" ref="J79:J89" si="45">IF(H$12=0,0,H79/H$12)</f>
        <v>3.9170831831784777E-4</v>
      </c>
      <c r="K79" s="1"/>
      <c r="L79" s="1">
        <f t="shared" ref="L79:L89" si="46">+D79-H79</f>
        <v>44.080000000000013</v>
      </c>
      <c r="M79" s="1"/>
      <c r="N79" s="5">
        <f t="shared" ref="N79:N89" si="47">IF(H79=0,0,L79/H79)</f>
        <v>0.25188571428571438</v>
      </c>
      <c r="O79" s="14"/>
      <c r="P79" s="1">
        <f>SUM(OSRRefP22_9x_0)</f>
        <v>438.16</v>
      </c>
      <c r="Q79" s="1"/>
      <c r="R79" s="5">
        <f t="shared" ref="R79:R89" si="48">IF(P$12=0,0,P79/P$12)</f>
        <v>7.470542200822824E-4</v>
      </c>
      <c r="S79" s="1"/>
      <c r="T79" s="1">
        <f>SUM(OSRRefT22_9x_0)</f>
        <v>350</v>
      </c>
      <c r="U79" s="1"/>
      <c r="V79" s="5">
        <f t="shared" ref="V79:V89" si="49">IF(T$12=0,0,T79/T$12)</f>
        <v>5.0993053289197633E-4</v>
      </c>
      <c r="W79" s="1"/>
      <c r="X79" s="1">
        <f t="shared" ref="X79:X89" si="50">+P79-T79</f>
        <v>88.160000000000025</v>
      </c>
      <c r="Y79" s="1"/>
      <c r="Z79" s="5">
        <f t="shared" ref="Z79:Z89" si="51">IF(T79=0,0,X79/T79)</f>
        <v>0.25188571428571438</v>
      </c>
    </row>
    <row r="80" spans="1:26" s="24" customFormat="1" hidden="1" outlineLevel="2" x14ac:dyDescent="0.3">
      <c r="A80" s="27"/>
      <c r="B80" s="11" t="str">
        <f>CONCATENATE("          ", "6314", " - ", "LIABILITY INSURANCE")</f>
        <v xml:space="preserve">          6314 - LIABILITY INSURANCE</v>
      </c>
      <c r="C80" s="11"/>
      <c r="D80" s="6">
        <v>219.08</v>
      </c>
      <c r="E80" s="2"/>
      <c r="F80" s="7">
        <f t="shared" si="44"/>
        <v>5.0870118658243729E-4</v>
      </c>
      <c r="G80" s="2"/>
      <c r="H80" s="6">
        <v>175</v>
      </c>
      <c r="I80" s="2"/>
      <c r="J80" s="7">
        <f t="shared" si="45"/>
        <v>3.9170831831784777E-4</v>
      </c>
      <c r="K80" s="2"/>
      <c r="L80" s="6">
        <f t="shared" si="46"/>
        <v>44.080000000000013</v>
      </c>
      <c r="M80" s="2"/>
      <c r="N80" s="7">
        <f t="shared" si="47"/>
        <v>0.25188571428571438</v>
      </c>
      <c r="O80" s="11"/>
      <c r="P80" s="6">
        <v>438.16</v>
      </c>
      <c r="Q80" s="2"/>
      <c r="R80" s="7">
        <f t="shared" si="48"/>
        <v>7.470542200822824E-4</v>
      </c>
      <c r="S80" s="2"/>
      <c r="T80" s="6">
        <v>350</v>
      </c>
      <c r="U80" s="2"/>
      <c r="V80" s="7">
        <f t="shared" si="49"/>
        <v>5.0993053289197633E-4</v>
      </c>
      <c r="W80" s="2"/>
      <c r="X80" s="6">
        <f t="shared" si="50"/>
        <v>88.160000000000025</v>
      </c>
      <c r="Y80" s="2"/>
      <c r="Z80" s="7">
        <f t="shared" si="51"/>
        <v>0.25188571428571438</v>
      </c>
    </row>
    <row r="81" spans="1:26" s="28" customFormat="1" outlineLevel="1" collapsed="1" x14ac:dyDescent="0.3">
      <c r="A81" s="29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SUM(OSRRefD22_10x_0)</f>
        <v>3450</v>
      </c>
      <c r="E81" s="1"/>
      <c r="F81" s="5">
        <f t="shared" si="44"/>
        <v>8.0108594746640897E-3</v>
      </c>
      <c r="G81" s="1"/>
      <c r="H81" s="1">
        <f>SUM(OSRRefH22_10x_0)</f>
        <v>3450</v>
      </c>
      <c r="I81" s="1"/>
      <c r="J81" s="5">
        <f t="shared" si="45"/>
        <v>7.7222497039804282E-3</v>
      </c>
      <c r="K81" s="1"/>
      <c r="L81" s="1">
        <f t="shared" si="46"/>
        <v>0</v>
      </c>
      <c r="M81" s="1"/>
      <c r="N81" s="5">
        <f t="shared" si="47"/>
        <v>0</v>
      </c>
      <c r="O81" s="14"/>
      <c r="P81" s="1">
        <f>SUM(OSRRefP22_10x_0)</f>
        <v>6900</v>
      </c>
      <c r="Q81" s="1"/>
      <c r="R81" s="5">
        <f t="shared" si="48"/>
        <v>1.1764364886269281E-2</v>
      </c>
      <c r="S81" s="1"/>
      <c r="T81" s="1">
        <f>SUM(OSRRefT22_10x_0)</f>
        <v>6900</v>
      </c>
      <c r="U81" s="1"/>
      <c r="V81" s="5">
        <f t="shared" si="49"/>
        <v>1.005291621987039E-2</v>
      </c>
      <c r="W81" s="1"/>
      <c r="X81" s="1">
        <f t="shared" si="50"/>
        <v>0</v>
      </c>
      <c r="Y81" s="1"/>
      <c r="Z81" s="5">
        <f t="shared" si="51"/>
        <v>0</v>
      </c>
    </row>
    <row r="82" spans="1:26" s="24" customFormat="1" hidden="1" outlineLevel="2" x14ac:dyDescent="0.3">
      <c r="A82" s="27"/>
      <c r="B82" s="11" t="str">
        <f>CONCATENATE("          ", "6408", " - ", "INVENTORY ADJUSTMENT")</f>
        <v xml:space="preserve">          6408 - INVENTORY ADJUSTMENT</v>
      </c>
      <c r="C82" s="11"/>
      <c r="D82" s="6">
        <v>3450</v>
      </c>
      <c r="E82" s="2"/>
      <c r="F82" s="7">
        <f t="shared" si="44"/>
        <v>8.0108594746640897E-3</v>
      </c>
      <c r="G82" s="2"/>
      <c r="H82" s="6">
        <v>3450</v>
      </c>
      <c r="I82" s="2"/>
      <c r="J82" s="7">
        <f t="shared" si="45"/>
        <v>7.7222497039804282E-3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6900</v>
      </c>
      <c r="Q82" s="2"/>
      <c r="R82" s="7">
        <f t="shared" si="48"/>
        <v>1.1764364886269281E-2</v>
      </c>
      <c r="S82" s="2"/>
      <c r="T82" s="6">
        <v>6900</v>
      </c>
      <c r="U82" s="2"/>
      <c r="V82" s="7">
        <f t="shared" si="49"/>
        <v>1.005291621987039E-2</v>
      </c>
      <c r="W82" s="2"/>
      <c r="X82" s="6">
        <f t="shared" si="50"/>
        <v>0</v>
      </c>
      <c r="Y82" s="2"/>
      <c r="Z82" s="7">
        <f t="shared" si="51"/>
        <v>0</v>
      </c>
    </row>
    <row r="83" spans="1:26" s="28" customFormat="1" outlineLevel="1" collapsed="1" x14ac:dyDescent="0.3">
      <c r="A83" s="29"/>
      <c r="B83" s="14" t="str">
        <f>CONCATENATE("     ","Professional Services                             ")</f>
        <v xml:space="preserve">     Professional Services                             </v>
      </c>
      <c r="C83" s="14"/>
      <c r="D83" s="1">
        <f>SUM(OSRRefD22_11x_0)</f>
        <v>0</v>
      </c>
      <c r="E83" s="1"/>
      <c r="F83" s="5">
        <f t="shared" si="44"/>
        <v>0</v>
      </c>
      <c r="G83" s="1"/>
      <c r="H83" s="1">
        <f>SUM(OSRRefH22_11x_0)</f>
        <v>0</v>
      </c>
      <c r="I83" s="1"/>
      <c r="J83" s="5">
        <f t="shared" si="45"/>
        <v>0</v>
      </c>
      <c r="K83" s="1"/>
      <c r="L83" s="1">
        <f t="shared" si="46"/>
        <v>0</v>
      </c>
      <c r="M83" s="1"/>
      <c r="N83" s="5">
        <f t="shared" si="47"/>
        <v>0</v>
      </c>
      <c r="O83" s="14"/>
      <c r="P83" s="1">
        <f>SUM(OSRRefP22_11x_0)</f>
        <v>0</v>
      </c>
      <c r="Q83" s="1"/>
      <c r="R83" s="5">
        <f t="shared" si="48"/>
        <v>0</v>
      </c>
      <c r="S83" s="1"/>
      <c r="T83" s="1">
        <f>SUM(OSRRefT22_11x_0)</f>
        <v>1000</v>
      </c>
      <c r="U83" s="1"/>
      <c r="V83" s="5">
        <f t="shared" si="49"/>
        <v>1.456944379691361E-3</v>
      </c>
      <c r="W83" s="1"/>
      <c r="X83" s="1">
        <f t="shared" si="50"/>
        <v>-1000</v>
      </c>
      <c r="Y83" s="1"/>
      <c r="Z83" s="5">
        <f t="shared" si="51"/>
        <v>-1</v>
      </c>
    </row>
    <row r="84" spans="1:26" s="24" customFormat="1" hidden="1" outlineLevel="2" x14ac:dyDescent="0.3">
      <c r="A84" s="27"/>
      <c r="B84" s="11" t="str">
        <f>CONCATENATE("          ", "6336", " - ", "PROFESSIONAL SERVICES")</f>
        <v xml:space="preserve">          6336 - PROFESSIONAL SERVICES</v>
      </c>
      <c r="C84" s="11"/>
      <c r="D84" s="6"/>
      <c r="E84" s="2"/>
      <c r="F84" s="7">
        <f t="shared" si="44"/>
        <v>0</v>
      </c>
      <c r="G84" s="2"/>
      <c r="H84" s="6">
        <v>0</v>
      </c>
      <c r="I84" s="2"/>
      <c r="J84" s="7">
        <f t="shared" si="45"/>
        <v>0</v>
      </c>
      <c r="K84" s="2"/>
      <c r="L84" s="6">
        <f t="shared" si="46"/>
        <v>0</v>
      </c>
      <c r="M84" s="2"/>
      <c r="N84" s="7">
        <f t="shared" si="47"/>
        <v>0</v>
      </c>
      <c r="O84" s="11"/>
      <c r="P84" s="6"/>
      <c r="Q84" s="2"/>
      <c r="R84" s="7">
        <f t="shared" si="48"/>
        <v>0</v>
      </c>
      <c r="S84" s="2"/>
      <c r="T84" s="6">
        <v>1000</v>
      </c>
      <c r="U84" s="2"/>
      <c r="V84" s="7">
        <f t="shared" si="49"/>
        <v>1.456944379691361E-3</v>
      </c>
      <c r="W84" s="2"/>
      <c r="X84" s="6">
        <f t="shared" si="50"/>
        <v>-1000</v>
      </c>
      <c r="Y84" s="2"/>
      <c r="Z84" s="7">
        <f t="shared" si="51"/>
        <v>-1</v>
      </c>
    </row>
    <row r="85" spans="1:26" s="28" customFormat="1" outlineLevel="1" collapsed="1" x14ac:dyDescent="0.3">
      <c r="A85" s="29"/>
      <c r="B85" s="14" t="str">
        <f>CONCATENATE("     ","Rent                                              ")</f>
        <v xml:space="preserve">     Rent                                              </v>
      </c>
      <c r="C85" s="14"/>
      <c r="D85" s="1">
        <f>SUM(OSRRefD22_12x_0)</f>
        <v>6900</v>
      </c>
      <c r="E85" s="1"/>
      <c r="F85" s="5">
        <f t="shared" si="44"/>
        <v>1.6021718949328179E-2</v>
      </c>
      <c r="G85" s="1"/>
      <c r="H85" s="1">
        <f>SUM(OSRRefH22_12x_0)</f>
        <v>6900</v>
      </c>
      <c r="I85" s="1"/>
      <c r="J85" s="5">
        <f t="shared" si="45"/>
        <v>1.5444499407960856E-2</v>
      </c>
      <c r="K85" s="1"/>
      <c r="L85" s="1">
        <f t="shared" si="46"/>
        <v>0</v>
      </c>
      <c r="M85" s="1"/>
      <c r="N85" s="5">
        <f t="shared" si="47"/>
        <v>0</v>
      </c>
      <c r="O85" s="14"/>
      <c r="P85" s="1">
        <f>SUM(OSRRefP22_12x_0)</f>
        <v>13800</v>
      </c>
      <c r="Q85" s="1"/>
      <c r="R85" s="5">
        <f t="shared" si="48"/>
        <v>2.3528729772538563E-2</v>
      </c>
      <c r="S85" s="1"/>
      <c r="T85" s="1">
        <f>SUM(OSRRefT22_12x_0)</f>
        <v>13800</v>
      </c>
      <c r="U85" s="1"/>
      <c r="V85" s="5">
        <f t="shared" si="49"/>
        <v>2.0105832439740779E-2</v>
      </c>
      <c r="W85" s="1"/>
      <c r="X85" s="1">
        <f t="shared" si="50"/>
        <v>0</v>
      </c>
      <c r="Y85" s="1"/>
      <c r="Z85" s="5">
        <f t="shared" si="51"/>
        <v>0</v>
      </c>
    </row>
    <row r="86" spans="1:26" s="24" customFormat="1" hidden="1" outlineLevel="2" x14ac:dyDescent="0.3">
      <c r="A86" s="27"/>
      <c r="B86" s="11" t="str">
        <f>CONCATENATE("          ", "6273", " - ", "RENT")</f>
        <v xml:space="preserve">          6273 - RENT</v>
      </c>
      <c r="C86" s="11"/>
      <c r="D86" s="6">
        <v>6900</v>
      </c>
      <c r="E86" s="2"/>
      <c r="F86" s="7">
        <f t="shared" si="44"/>
        <v>1.6021718949328179E-2</v>
      </c>
      <c r="G86" s="2"/>
      <c r="H86" s="6">
        <v>6900</v>
      </c>
      <c r="I86" s="2"/>
      <c r="J86" s="7">
        <f t="shared" si="45"/>
        <v>1.5444499407960856E-2</v>
      </c>
      <c r="K86" s="2"/>
      <c r="L86" s="6">
        <f t="shared" si="46"/>
        <v>0</v>
      </c>
      <c r="M86" s="2"/>
      <c r="N86" s="7">
        <f t="shared" si="47"/>
        <v>0</v>
      </c>
      <c r="O86" s="11"/>
      <c r="P86" s="6">
        <v>13800</v>
      </c>
      <c r="Q86" s="2"/>
      <c r="R86" s="7">
        <f t="shared" si="48"/>
        <v>2.3528729772538563E-2</v>
      </c>
      <c r="S86" s="2"/>
      <c r="T86" s="6">
        <v>13800</v>
      </c>
      <c r="U86" s="2"/>
      <c r="V86" s="7">
        <f t="shared" si="49"/>
        <v>2.0105832439740779E-2</v>
      </c>
      <c r="W86" s="2"/>
      <c r="X86" s="6">
        <f t="shared" si="50"/>
        <v>0</v>
      </c>
      <c r="Y86" s="2"/>
      <c r="Z86" s="7">
        <f t="shared" si="51"/>
        <v>0</v>
      </c>
    </row>
    <row r="87" spans="1:26" s="28" customFormat="1" outlineLevel="1" collapsed="1" x14ac:dyDescent="0.3">
      <c r="A87" s="29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SUM(OSRRefD22_13x_0)</f>
        <v>782.06000000000006</v>
      </c>
      <c r="E87" s="1"/>
      <c r="F87" s="5">
        <f t="shared" si="44"/>
        <v>1.8159341335524052E-3</v>
      </c>
      <c r="G87" s="1"/>
      <c r="H87" s="1">
        <f>SUM(OSRRefH22_13x_0)</f>
        <v>115</v>
      </c>
      <c r="I87" s="1"/>
      <c r="J87" s="5">
        <f t="shared" si="45"/>
        <v>2.5740832346601427E-4</v>
      </c>
      <c r="K87" s="1"/>
      <c r="L87" s="1">
        <f t="shared" si="46"/>
        <v>667.06000000000006</v>
      </c>
      <c r="M87" s="1"/>
      <c r="N87" s="5">
        <f t="shared" si="47"/>
        <v>5.8005217391304349</v>
      </c>
      <c r="O87" s="14"/>
      <c r="P87" s="1">
        <f>SUM(OSRRefP22_13x_0)</f>
        <v>782.06000000000006</v>
      </c>
      <c r="Q87" s="1"/>
      <c r="R87" s="5">
        <f t="shared" si="48"/>
        <v>1.3333969859356167E-3</v>
      </c>
      <c r="S87" s="1"/>
      <c r="T87" s="1">
        <f>SUM(OSRRefT22_13x_0)</f>
        <v>230</v>
      </c>
      <c r="U87" s="1"/>
      <c r="V87" s="5">
        <f t="shared" si="49"/>
        <v>3.3509720732901303E-4</v>
      </c>
      <c r="W87" s="1"/>
      <c r="X87" s="1">
        <f t="shared" si="50"/>
        <v>552.06000000000006</v>
      </c>
      <c r="Y87" s="1"/>
      <c r="Z87" s="5">
        <f t="shared" si="51"/>
        <v>2.4002608695652174</v>
      </c>
    </row>
    <row r="88" spans="1:26" s="24" customFormat="1" hidden="1" outlineLevel="2" x14ac:dyDescent="0.3">
      <c r="A88" s="27"/>
      <c r="B88" s="11" t="str">
        <f>CONCATENATE("          ", "6373", " - ", "MAINTENANCE CONTRACTS")</f>
        <v xml:space="preserve">          6373 - MAINTENANCE CONTRACTS</v>
      </c>
      <c r="C88" s="11"/>
      <c r="D88" s="6">
        <v>5.7</v>
      </c>
      <c r="E88" s="2"/>
      <c r="F88" s="7">
        <f t="shared" si="44"/>
        <v>1.3235333045097192E-5</v>
      </c>
      <c r="G88" s="2"/>
      <c r="H88" s="6">
        <v>115</v>
      </c>
      <c r="I88" s="2"/>
      <c r="J88" s="7">
        <f t="shared" si="45"/>
        <v>2.5740832346601427E-4</v>
      </c>
      <c r="K88" s="2"/>
      <c r="L88" s="6">
        <f t="shared" si="46"/>
        <v>-109.3</v>
      </c>
      <c r="M88" s="2"/>
      <c r="N88" s="7">
        <f t="shared" si="47"/>
        <v>-0.95043478260869563</v>
      </c>
      <c r="O88" s="11"/>
      <c r="P88" s="6">
        <v>5.7</v>
      </c>
      <c r="Q88" s="2"/>
      <c r="R88" s="7">
        <f t="shared" si="48"/>
        <v>9.7183883843094061E-6</v>
      </c>
      <c r="S88" s="2"/>
      <c r="T88" s="6">
        <v>230</v>
      </c>
      <c r="U88" s="2"/>
      <c r="V88" s="7">
        <f t="shared" si="49"/>
        <v>3.3509720732901303E-4</v>
      </c>
      <c r="W88" s="2"/>
      <c r="X88" s="6">
        <f t="shared" si="50"/>
        <v>-224.3</v>
      </c>
      <c r="Y88" s="2"/>
      <c r="Z88" s="7">
        <f t="shared" si="51"/>
        <v>-0.97521739130434792</v>
      </c>
    </row>
    <row r="89" spans="1:26" s="24" customFormat="1" hidden="1" outlineLevel="2" x14ac:dyDescent="0.3">
      <c r="A89" s="27"/>
      <c r="B89" s="11" t="str">
        <f>CONCATENATE("          ", "6375", " - ", "OUTSIDE REPAIRS &amp; MAINTENANCE")</f>
        <v xml:space="preserve">          6375 - OUTSIDE REPAIRS &amp; MAINTENANCE</v>
      </c>
      <c r="C89" s="11"/>
      <c r="D89" s="6">
        <v>776.36</v>
      </c>
      <c r="E89" s="2"/>
      <c r="F89" s="7">
        <f t="shared" si="44"/>
        <v>1.8026988005073079E-3</v>
      </c>
      <c r="G89" s="2"/>
      <c r="H89" s="6">
        <v>0</v>
      </c>
      <c r="I89" s="2"/>
      <c r="J89" s="7">
        <f t="shared" si="45"/>
        <v>0</v>
      </c>
      <c r="K89" s="2"/>
      <c r="L89" s="6">
        <f t="shared" si="46"/>
        <v>776.36</v>
      </c>
      <c r="M89" s="2"/>
      <c r="N89" s="7">
        <f t="shared" si="47"/>
        <v>0</v>
      </c>
      <c r="O89" s="11"/>
      <c r="P89" s="6">
        <v>776.36</v>
      </c>
      <c r="Q89" s="2"/>
      <c r="R89" s="7">
        <f t="shared" si="48"/>
        <v>1.3236785975513071E-3</v>
      </c>
      <c r="S89" s="2"/>
      <c r="T89" s="6">
        <v>0</v>
      </c>
      <c r="U89" s="2"/>
      <c r="V89" s="7">
        <f t="shared" si="49"/>
        <v>0</v>
      </c>
      <c r="W89" s="2"/>
      <c r="X89" s="6">
        <f t="shared" si="50"/>
        <v>776.36</v>
      </c>
      <c r="Y89" s="2"/>
      <c r="Z89" s="7">
        <f t="shared" si="51"/>
        <v>0</v>
      </c>
    </row>
    <row r="90" spans="1:26" s="28" customFormat="1" outlineLevel="1" collapsed="1" x14ac:dyDescent="0.3">
      <c r="A90" s="29"/>
      <c r="B90" s="14" t="str">
        <f>CONCATENATE("     ","Royalty &amp; Commissions                             ")</f>
        <v xml:space="preserve">     Royalty &amp; Commissions                             </v>
      </c>
      <c r="C90" s="14"/>
      <c r="D90" s="1">
        <f>SUM(OSRRefD22_14x_0)</f>
        <v>0</v>
      </c>
      <c r="E90" s="1"/>
      <c r="F90" s="5">
        <f t="shared" ref="F90:F93" si="52">IF(D$12=0,0,D90/D$12)</f>
        <v>0</v>
      </c>
      <c r="G90" s="1"/>
      <c r="H90" s="1">
        <f>SUM(OSRRefH22_14x_0)</f>
        <v>2080</v>
      </c>
      <c r="I90" s="1"/>
      <c r="J90" s="5">
        <f t="shared" ref="J90:J93" si="53">IF(H$12=0,0,H90/H$12)</f>
        <v>4.6557331548635625E-3</v>
      </c>
      <c r="K90" s="1"/>
      <c r="L90" s="1">
        <f t="shared" ref="L90:L93" si="54">+D90-H90</f>
        <v>-2080</v>
      </c>
      <c r="M90" s="1"/>
      <c r="N90" s="5">
        <f t="shared" ref="N90:N93" si="55">IF(H90=0,0,L90/H90)</f>
        <v>-1</v>
      </c>
      <c r="O90" s="14"/>
      <c r="P90" s="1">
        <f>SUM(OSRRefP22_14x_0)</f>
        <v>7349.0400000000009</v>
      </c>
      <c r="Q90" s="1"/>
      <c r="R90" s="5">
        <f t="shared" ref="R90:R93" si="56">IF(P$12=0,0,P90/P$12)</f>
        <v>1.2529969293302667E-2</v>
      </c>
      <c r="S90" s="1"/>
      <c r="T90" s="1">
        <f>SUM(OSRRefT22_14x_0)</f>
        <v>8594</v>
      </c>
      <c r="U90" s="1"/>
      <c r="V90" s="5">
        <f t="shared" ref="V90:V93" si="57">IF(T$12=0,0,T90/T$12)</f>
        <v>1.2520979999067556E-2</v>
      </c>
      <c r="W90" s="1"/>
      <c r="X90" s="1">
        <f t="shared" ref="X90:X93" si="58">+P90-T90</f>
        <v>-1244.9599999999991</v>
      </c>
      <c r="Y90" s="1"/>
      <c r="Z90" s="5">
        <f t="shared" ref="Z90:Z93" si="59">IF(T90=0,0,X90/T90)</f>
        <v>-0.14486385850593428</v>
      </c>
    </row>
    <row r="91" spans="1:26" s="24" customFormat="1" hidden="1" outlineLevel="2" x14ac:dyDescent="0.3">
      <c r="A91" s="27"/>
      <c r="B91" s="11" t="str">
        <f>CONCATENATE("          ", "6252", " - ", "ROYALTY DUE CSTV")</f>
        <v xml:space="preserve">          6252 - ROYALTY DUE CSTV</v>
      </c>
      <c r="C91" s="11"/>
      <c r="D91" s="6"/>
      <c r="E91" s="2"/>
      <c r="F91" s="7">
        <f t="shared" si="52"/>
        <v>0</v>
      </c>
      <c r="G91" s="2"/>
      <c r="H91" s="6">
        <v>2080</v>
      </c>
      <c r="I91" s="2"/>
      <c r="J91" s="7">
        <f t="shared" si="53"/>
        <v>4.6557331548635625E-3</v>
      </c>
      <c r="K91" s="2"/>
      <c r="L91" s="6">
        <f t="shared" si="54"/>
        <v>-2080</v>
      </c>
      <c r="M91" s="2"/>
      <c r="N91" s="7">
        <f t="shared" si="55"/>
        <v>-1</v>
      </c>
      <c r="O91" s="11"/>
      <c r="P91" s="6"/>
      <c r="Q91" s="2"/>
      <c r="R91" s="7">
        <f t="shared" si="56"/>
        <v>0</v>
      </c>
      <c r="S91" s="2"/>
      <c r="T91" s="6">
        <v>2922</v>
      </c>
      <c r="U91" s="2"/>
      <c r="V91" s="7">
        <f t="shared" si="57"/>
        <v>4.2571914774581568E-3</v>
      </c>
      <c r="W91" s="2"/>
      <c r="X91" s="6">
        <f t="shared" si="58"/>
        <v>-2922</v>
      </c>
      <c r="Y91" s="2"/>
      <c r="Z91" s="7">
        <f t="shared" si="59"/>
        <v>-1</v>
      </c>
    </row>
    <row r="92" spans="1:26" s="24" customFormat="1" hidden="1" outlineLevel="2" x14ac:dyDescent="0.3">
      <c r="A92" s="27"/>
      <c r="B92" s="11" t="str">
        <f>CONCATENATE("          ", "6253", " - ", "ROYALTY DUE ATHLETICS-LRG")</f>
        <v xml:space="preserve">          6253 - ROYALTY DUE ATHLETICS-LRG</v>
      </c>
      <c r="C92" s="11"/>
      <c r="D92" s="6"/>
      <c r="E92" s="2"/>
      <c r="F92" s="7">
        <f t="shared" si="52"/>
        <v>0</v>
      </c>
      <c r="G92" s="2"/>
      <c r="H92" s="6">
        <v>0</v>
      </c>
      <c r="I92" s="2"/>
      <c r="J92" s="7">
        <f t="shared" si="53"/>
        <v>0</v>
      </c>
      <c r="K92" s="2"/>
      <c r="L92" s="6">
        <f t="shared" si="54"/>
        <v>0</v>
      </c>
      <c r="M92" s="2"/>
      <c r="N92" s="7">
        <f t="shared" si="55"/>
        <v>0</v>
      </c>
      <c r="O92" s="11"/>
      <c r="P92" s="6">
        <v>14376.54</v>
      </c>
      <c r="Q92" s="2"/>
      <c r="R92" s="7">
        <f t="shared" si="56"/>
        <v>2.4511719182905185E-2</v>
      </c>
      <c r="S92" s="2"/>
      <c r="T92" s="6">
        <v>5672</v>
      </c>
      <c r="U92" s="2"/>
      <c r="V92" s="7">
        <f t="shared" si="57"/>
        <v>8.2637885216093991E-3</v>
      </c>
      <c r="W92" s="2"/>
      <c r="X92" s="6">
        <f t="shared" si="58"/>
        <v>8704.5400000000009</v>
      </c>
      <c r="Y92" s="2"/>
      <c r="Z92" s="7">
        <f t="shared" si="59"/>
        <v>1.5346509167842033</v>
      </c>
    </row>
    <row r="93" spans="1:26" s="24" customFormat="1" hidden="1" outlineLevel="2" x14ac:dyDescent="0.3">
      <c r="A93" s="27"/>
      <c r="B93" s="11" t="str">
        <f>CONCATENATE("          ", "6254", " - ", "ROYALTY &amp; COMMISSIONS")</f>
        <v xml:space="preserve">          6254 - ROYALTY &amp; COMMISSIONS</v>
      </c>
      <c r="C93" s="11"/>
      <c r="D93" s="6"/>
      <c r="E93" s="2"/>
      <c r="F93" s="7">
        <f t="shared" si="52"/>
        <v>0</v>
      </c>
      <c r="G93" s="2"/>
      <c r="H93" s="6">
        <v>0</v>
      </c>
      <c r="I93" s="2"/>
      <c r="J93" s="7">
        <f t="shared" si="53"/>
        <v>0</v>
      </c>
      <c r="K93" s="2"/>
      <c r="L93" s="6">
        <f t="shared" si="54"/>
        <v>0</v>
      </c>
      <c r="M93" s="2"/>
      <c r="N93" s="7">
        <f t="shared" si="55"/>
        <v>0</v>
      </c>
      <c r="O93" s="11"/>
      <c r="P93" s="6">
        <v>-7027.5</v>
      </c>
      <c r="Q93" s="2"/>
      <c r="R93" s="7">
        <f t="shared" si="56"/>
        <v>-1.1981749889602518E-2</v>
      </c>
      <c r="S93" s="2"/>
      <c r="T93" s="6">
        <v>0</v>
      </c>
      <c r="U93" s="2"/>
      <c r="V93" s="7">
        <f t="shared" si="57"/>
        <v>0</v>
      </c>
      <c r="W93" s="2"/>
      <c r="X93" s="6">
        <f t="shared" si="58"/>
        <v>-7027.5</v>
      </c>
      <c r="Y93" s="2"/>
      <c r="Z93" s="7">
        <f t="shared" si="59"/>
        <v>0</v>
      </c>
    </row>
    <row r="94" spans="1:26" s="28" customFormat="1" outlineLevel="1" collapsed="1" x14ac:dyDescent="0.3">
      <c r="A94" s="29"/>
      <c r="B94" s="14" t="str">
        <f>CONCATENATE("     ","Services                                          ")</f>
        <v xml:space="preserve">     Services                                          </v>
      </c>
      <c r="C94" s="14"/>
      <c r="D94" s="1">
        <f>SUM(OSRRefD22_15x_0)</f>
        <v>162.72</v>
      </c>
      <c r="E94" s="1"/>
      <c r="F94" s="5">
        <f t="shared" ref="F94:F96" si="60">IF(D$12=0,0,D94/D$12)</f>
        <v>3.7783392861372189E-4</v>
      </c>
      <c r="G94" s="1"/>
      <c r="H94" s="1">
        <f>SUM(OSRRefH22_15x_0)</f>
        <v>60</v>
      </c>
      <c r="I94" s="1"/>
      <c r="J94" s="5">
        <f t="shared" ref="J94:J96" si="61">IF(H$12=0,0,H94/H$12)</f>
        <v>1.3429999485183353E-4</v>
      </c>
      <c r="K94" s="1"/>
      <c r="L94" s="1">
        <f t="shared" ref="L94:L96" si="62">+D94-H94</f>
        <v>102.72</v>
      </c>
      <c r="M94" s="1"/>
      <c r="N94" s="5">
        <f t="shared" ref="N94:N96" si="63">IF(H94=0,0,L94/H94)</f>
        <v>1.712</v>
      </c>
      <c r="O94" s="14"/>
      <c r="P94" s="1">
        <f>SUM(OSRRefP22_15x_0)</f>
        <v>318.31</v>
      </c>
      <c r="Q94" s="1"/>
      <c r="R94" s="5">
        <f t="shared" ref="R94:R96" si="64">IF(P$12=0,0,P94/P$12)</f>
        <v>5.4271231694903981E-4</v>
      </c>
      <c r="S94" s="1"/>
      <c r="T94" s="1">
        <f>SUM(OSRRefT22_15x_0)</f>
        <v>120</v>
      </c>
      <c r="U94" s="1"/>
      <c r="V94" s="5">
        <f t="shared" ref="V94:V96" si="65">IF(T$12=0,0,T94/T$12)</f>
        <v>1.748333255629633E-4</v>
      </c>
      <c r="W94" s="1"/>
      <c r="X94" s="1">
        <f t="shared" ref="X94:X96" si="66">+P94-T94</f>
        <v>198.31</v>
      </c>
      <c r="Y94" s="1"/>
      <c r="Z94" s="5">
        <f t="shared" ref="Z94:Z96" si="67">IF(T94=0,0,X94/T94)</f>
        <v>1.6525833333333333</v>
      </c>
    </row>
    <row r="95" spans="1:26" s="24" customFormat="1" hidden="1" outlineLevel="2" x14ac:dyDescent="0.3">
      <c r="A95" s="27"/>
      <c r="B95" s="11" t="str">
        <f>CONCATENATE("          ", "6284", " - ", "TRASH REMOVAL EXPENSE")</f>
        <v xml:space="preserve">          6284 - TRASH REMOVAL EXPENSE</v>
      </c>
      <c r="C95" s="11"/>
      <c r="D95" s="6">
        <v>149.69999999999999</v>
      </c>
      <c r="E95" s="2"/>
      <c r="F95" s="7">
        <f t="shared" si="60"/>
        <v>3.4760164155281565E-4</v>
      </c>
      <c r="G95" s="2"/>
      <c r="H95" s="6">
        <v>60</v>
      </c>
      <c r="I95" s="2"/>
      <c r="J95" s="7">
        <f t="shared" si="61"/>
        <v>1.3429999485183353E-4</v>
      </c>
      <c r="K95" s="2"/>
      <c r="L95" s="6">
        <f t="shared" si="62"/>
        <v>89.699999999999989</v>
      </c>
      <c r="M95" s="2"/>
      <c r="N95" s="7">
        <f t="shared" si="63"/>
        <v>1.4949999999999999</v>
      </c>
      <c r="O95" s="11"/>
      <c r="P95" s="6">
        <v>292.27</v>
      </c>
      <c r="Q95" s="2"/>
      <c r="R95" s="7">
        <f t="shared" si="64"/>
        <v>4.9831462685651052E-4</v>
      </c>
      <c r="S95" s="2"/>
      <c r="T95" s="6">
        <v>120</v>
      </c>
      <c r="U95" s="2"/>
      <c r="V95" s="7">
        <f t="shared" si="65"/>
        <v>1.748333255629633E-4</v>
      </c>
      <c r="W95" s="2"/>
      <c r="X95" s="6">
        <f t="shared" si="66"/>
        <v>172.26999999999998</v>
      </c>
      <c r="Y95" s="2"/>
      <c r="Z95" s="7">
        <f t="shared" si="67"/>
        <v>1.4355833333333332</v>
      </c>
    </row>
    <row r="96" spans="1:26" s="24" customFormat="1" hidden="1" outlineLevel="2" x14ac:dyDescent="0.3">
      <c r="A96" s="27"/>
      <c r="B96" s="11" t="str">
        <f>CONCATENATE("          ", "6285", " - ", "JANITORIAL SERVICES")</f>
        <v xml:space="preserve">          6285 - JANITORIAL SERVICES</v>
      </c>
      <c r="C96" s="11"/>
      <c r="D96" s="6">
        <v>13.02</v>
      </c>
      <c r="E96" s="2"/>
      <c r="F96" s="7">
        <f t="shared" si="60"/>
        <v>3.0232287060906212E-5</v>
      </c>
      <c r="G96" s="2"/>
      <c r="H96" s="6"/>
      <c r="I96" s="2"/>
      <c r="J96" s="7">
        <f t="shared" si="61"/>
        <v>0</v>
      </c>
      <c r="K96" s="2"/>
      <c r="L96" s="6">
        <f t="shared" si="62"/>
        <v>13.02</v>
      </c>
      <c r="M96" s="2"/>
      <c r="N96" s="7">
        <f t="shared" si="63"/>
        <v>0</v>
      </c>
      <c r="O96" s="11"/>
      <c r="P96" s="6">
        <v>26.04</v>
      </c>
      <c r="Q96" s="2"/>
      <c r="R96" s="7">
        <f t="shared" si="64"/>
        <v>4.4397690092529286E-5</v>
      </c>
      <c r="S96" s="2"/>
      <c r="T96" s="6"/>
      <c r="U96" s="2"/>
      <c r="V96" s="7">
        <f t="shared" si="65"/>
        <v>0</v>
      </c>
      <c r="W96" s="2"/>
      <c r="X96" s="6">
        <f t="shared" si="66"/>
        <v>26.04</v>
      </c>
      <c r="Y96" s="2"/>
      <c r="Z96" s="7">
        <f t="shared" si="67"/>
        <v>0</v>
      </c>
    </row>
    <row r="97" spans="1:26" s="28" customFormat="1" outlineLevel="1" collapsed="1" x14ac:dyDescent="0.3">
      <c r="A97" s="29"/>
      <c r="B97" s="14" t="str">
        <f>CONCATENATE("     ","Subscriptions &amp; Dues                              ")</f>
        <v xml:space="preserve">     Subscriptions &amp; Dues                              </v>
      </c>
      <c r="C97" s="14"/>
      <c r="D97" s="1">
        <f>SUM(OSRRefD22_16x_0)</f>
        <v>0</v>
      </c>
      <c r="E97" s="1"/>
      <c r="F97" s="5">
        <f t="shared" ref="F97:F99" si="68">IF(D$12=0,0,D97/D$12)</f>
        <v>0</v>
      </c>
      <c r="G97" s="1"/>
      <c r="H97" s="1">
        <f>SUM(OSRRefH22_16x_0)</f>
        <v>61</v>
      </c>
      <c r="I97" s="1"/>
      <c r="J97" s="5">
        <f t="shared" ref="J97:J99" si="69">IF(H$12=0,0,H97/H$12)</f>
        <v>1.365383280993641E-4</v>
      </c>
      <c r="K97" s="1"/>
      <c r="L97" s="1">
        <f t="shared" ref="L97:L99" si="70">+D97-H97</f>
        <v>-61</v>
      </c>
      <c r="M97" s="1"/>
      <c r="N97" s="5">
        <f t="shared" ref="N97:N99" si="71">IF(H97=0,0,L97/H97)</f>
        <v>-1</v>
      </c>
      <c r="O97" s="14"/>
      <c r="P97" s="1">
        <f>SUM(OSRRefP22_16x_0)</f>
        <v>0</v>
      </c>
      <c r="Q97" s="1"/>
      <c r="R97" s="5">
        <f t="shared" ref="R97:R99" si="72">IF(P$12=0,0,P97/P$12)</f>
        <v>0</v>
      </c>
      <c r="S97" s="1"/>
      <c r="T97" s="1">
        <f>SUM(OSRRefT22_16x_0)</f>
        <v>1537</v>
      </c>
      <c r="U97" s="1"/>
      <c r="V97" s="5">
        <f t="shared" ref="V97:V99" si="73">IF(T$12=0,0,T97/T$12)</f>
        <v>2.2393235115856216E-3</v>
      </c>
      <c r="W97" s="1"/>
      <c r="X97" s="1">
        <f t="shared" ref="X97:X99" si="74">+P97-T97</f>
        <v>-1537</v>
      </c>
      <c r="Y97" s="1"/>
      <c r="Z97" s="5">
        <f t="shared" ref="Z97:Z99" si="75">IF(T97=0,0,X97/T97)</f>
        <v>-1</v>
      </c>
    </row>
    <row r="98" spans="1:26" s="24" customFormat="1" hidden="1" outlineLevel="2" x14ac:dyDescent="0.3">
      <c r="A98" s="27"/>
      <c r="B98" s="11" t="str">
        <f>CONCATENATE("          ", "6258", " - ", "MEMBERSHIP DUES")</f>
        <v xml:space="preserve">          6258 - MEMBERSHIP DUES</v>
      </c>
      <c r="C98" s="11"/>
      <c r="D98" s="6"/>
      <c r="E98" s="2"/>
      <c r="F98" s="7">
        <f t="shared" si="68"/>
        <v>0</v>
      </c>
      <c r="G98" s="2"/>
      <c r="H98" s="6">
        <v>0</v>
      </c>
      <c r="I98" s="2"/>
      <c r="J98" s="7">
        <f t="shared" si="69"/>
        <v>0</v>
      </c>
      <c r="K98" s="2"/>
      <c r="L98" s="6">
        <f t="shared" si="70"/>
        <v>0</v>
      </c>
      <c r="M98" s="2"/>
      <c r="N98" s="7">
        <f t="shared" si="71"/>
        <v>0</v>
      </c>
      <c r="O98" s="11"/>
      <c r="P98" s="6"/>
      <c r="Q98" s="2"/>
      <c r="R98" s="7">
        <f t="shared" si="72"/>
        <v>0</v>
      </c>
      <c r="S98" s="2"/>
      <c r="T98" s="6">
        <v>1395</v>
      </c>
      <c r="U98" s="2"/>
      <c r="V98" s="7">
        <f t="shared" si="73"/>
        <v>2.0324374096694483E-3</v>
      </c>
      <c r="W98" s="2"/>
      <c r="X98" s="6">
        <f t="shared" si="74"/>
        <v>-1395</v>
      </c>
      <c r="Y98" s="2"/>
      <c r="Z98" s="7">
        <f t="shared" si="75"/>
        <v>-1</v>
      </c>
    </row>
    <row r="99" spans="1:26" s="24" customFormat="1" hidden="1" outlineLevel="2" x14ac:dyDescent="0.3">
      <c r="A99" s="27"/>
      <c r="B99" s="11" t="str">
        <f>CONCATENATE("          ", "6275", " - ", "SUBSCRIPTIONS")</f>
        <v xml:space="preserve">          6275 - SUBSCRIPTIONS</v>
      </c>
      <c r="C99" s="11"/>
      <c r="D99" s="6"/>
      <c r="E99" s="2"/>
      <c r="F99" s="7">
        <f t="shared" si="68"/>
        <v>0</v>
      </c>
      <c r="G99" s="2"/>
      <c r="H99" s="6">
        <v>61</v>
      </c>
      <c r="I99" s="2"/>
      <c r="J99" s="7">
        <f t="shared" si="69"/>
        <v>1.365383280993641E-4</v>
      </c>
      <c r="K99" s="2"/>
      <c r="L99" s="6">
        <f t="shared" si="70"/>
        <v>-61</v>
      </c>
      <c r="M99" s="2"/>
      <c r="N99" s="7">
        <f t="shared" si="71"/>
        <v>-1</v>
      </c>
      <c r="O99" s="11"/>
      <c r="P99" s="6"/>
      <c r="Q99" s="2"/>
      <c r="R99" s="7">
        <f t="shared" si="72"/>
        <v>0</v>
      </c>
      <c r="S99" s="2"/>
      <c r="T99" s="6">
        <v>142</v>
      </c>
      <c r="U99" s="2"/>
      <c r="V99" s="7">
        <f t="shared" si="73"/>
        <v>2.0688610191617324E-4</v>
      </c>
      <c r="W99" s="2"/>
      <c r="X99" s="6">
        <f t="shared" si="74"/>
        <v>-142</v>
      </c>
      <c r="Y99" s="2"/>
      <c r="Z99" s="7">
        <f t="shared" si="75"/>
        <v>-1</v>
      </c>
    </row>
    <row r="100" spans="1:26" s="28" customFormat="1" outlineLevel="1" collapsed="1" x14ac:dyDescent="0.3">
      <c r="A100" s="29"/>
      <c r="B100" s="14" t="str">
        <f>CONCATENATE("     ","Supplies                                          ")</f>
        <v xml:space="preserve">     Supplies                                          </v>
      </c>
      <c r="C100" s="14"/>
      <c r="D100" s="1">
        <f>SUM(OSRRefD22_17x_0)</f>
        <v>3146.37</v>
      </c>
      <c r="E100" s="1"/>
      <c r="F100" s="5">
        <f t="shared" ref="F100:F104" si="76">IF(D$12=0,0,D100/D$12)</f>
        <v>7.3058341812460431E-3</v>
      </c>
      <c r="G100" s="1"/>
      <c r="H100" s="1">
        <f>SUM(OSRRefH22_17x_0)</f>
        <v>105</v>
      </c>
      <c r="I100" s="1"/>
      <c r="J100" s="5">
        <f t="shared" ref="J100:J104" si="77">IF(H$12=0,0,H100/H$12)</f>
        <v>2.3502499099070867E-4</v>
      </c>
      <c r="K100" s="1"/>
      <c r="L100" s="1">
        <f t="shared" ref="L100:L104" si="78">+D100-H100</f>
        <v>3041.37</v>
      </c>
      <c r="M100" s="1"/>
      <c r="N100" s="5">
        <f t="shared" ref="N100:N104" si="79">IF(H100=0,0,L100/H100)</f>
        <v>28.965428571428571</v>
      </c>
      <c r="O100" s="14"/>
      <c r="P100" s="1">
        <f>SUM(OSRRefP22_17x_0)</f>
        <v>5919.29</v>
      </c>
      <c r="Q100" s="1"/>
      <c r="R100" s="5">
        <f t="shared" ref="R100:R104" si="80">IF(P$12=0,0,P100/P$12)</f>
        <v>1.0092273540238391E-2</v>
      </c>
      <c r="S100" s="1"/>
      <c r="T100" s="1">
        <f>SUM(OSRRefT22_17x_0)</f>
        <v>250</v>
      </c>
      <c r="U100" s="1"/>
      <c r="V100" s="5">
        <f t="shared" ref="V100:V104" si="81">IF(T$12=0,0,T100/T$12)</f>
        <v>3.6423609492284025E-4</v>
      </c>
      <c r="W100" s="1"/>
      <c r="X100" s="1">
        <f t="shared" ref="X100:X104" si="82">+P100-T100</f>
        <v>5669.29</v>
      </c>
      <c r="Y100" s="1"/>
      <c r="Z100" s="5">
        <f t="shared" ref="Z100:Z104" si="83">IF(T100=0,0,X100/T100)</f>
        <v>22.677160000000001</v>
      </c>
    </row>
    <row r="101" spans="1:26" s="24" customFormat="1" hidden="1" outlineLevel="2" x14ac:dyDescent="0.3">
      <c r="A101" s="27"/>
      <c r="B101" s="11" t="str">
        <f>CONCATENATE("          ", "6235", " - ", "COVID-19 EXPENSES")</f>
        <v xml:space="preserve">          6235 - COVID-19 EXPENSES</v>
      </c>
      <c r="C101" s="11"/>
      <c r="D101" s="6"/>
      <c r="E101" s="2"/>
      <c r="F101" s="7">
        <f t="shared" si="76"/>
        <v>0</v>
      </c>
      <c r="G101" s="2"/>
      <c r="H101" s="6">
        <v>0</v>
      </c>
      <c r="I101" s="2"/>
      <c r="J101" s="7">
        <f t="shared" si="77"/>
        <v>0</v>
      </c>
      <c r="K101" s="2"/>
      <c r="L101" s="6">
        <f t="shared" si="78"/>
        <v>0</v>
      </c>
      <c r="M101" s="2"/>
      <c r="N101" s="7">
        <f t="shared" si="79"/>
        <v>0</v>
      </c>
      <c r="O101" s="11"/>
      <c r="P101" s="6"/>
      <c r="Q101" s="2"/>
      <c r="R101" s="7">
        <f t="shared" si="80"/>
        <v>0</v>
      </c>
      <c r="S101" s="2"/>
      <c r="T101" s="6">
        <v>0</v>
      </c>
      <c r="U101" s="2"/>
      <c r="V101" s="7">
        <f t="shared" si="81"/>
        <v>0</v>
      </c>
      <c r="W101" s="2"/>
      <c r="X101" s="6">
        <f t="shared" si="82"/>
        <v>0</v>
      </c>
      <c r="Y101" s="2"/>
      <c r="Z101" s="7">
        <f t="shared" si="83"/>
        <v>0</v>
      </c>
    </row>
    <row r="102" spans="1:26" s="24" customFormat="1" hidden="1" outlineLevel="2" x14ac:dyDescent="0.3">
      <c r="A102" s="27"/>
      <c r="B102" s="11" t="str">
        <f>CONCATENATE("          ", "6237", " - ", "JANITORIAL SUPPLIES")</f>
        <v xml:space="preserve">          6237 - JANITORIAL SUPPLIES</v>
      </c>
      <c r="C102" s="11"/>
      <c r="D102" s="6">
        <v>77.17</v>
      </c>
      <c r="E102" s="2"/>
      <c r="F102" s="7">
        <f t="shared" si="76"/>
        <v>1.7918783352458776E-4</v>
      </c>
      <c r="G102" s="2"/>
      <c r="H102" s="6">
        <v>10</v>
      </c>
      <c r="I102" s="2"/>
      <c r="J102" s="7">
        <f t="shared" si="77"/>
        <v>2.238333247530559E-5</v>
      </c>
      <c r="K102" s="2"/>
      <c r="L102" s="6">
        <f t="shared" si="78"/>
        <v>67.17</v>
      </c>
      <c r="M102" s="2"/>
      <c r="N102" s="7">
        <f t="shared" si="79"/>
        <v>6.7170000000000005</v>
      </c>
      <c r="O102" s="11"/>
      <c r="P102" s="6">
        <v>77.17</v>
      </c>
      <c r="Q102" s="2"/>
      <c r="R102" s="7">
        <f t="shared" si="80"/>
        <v>1.3157333888020296E-4</v>
      </c>
      <c r="S102" s="2"/>
      <c r="T102" s="6">
        <v>60</v>
      </c>
      <c r="U102" s="2"/>
      <c r="V102" s="7">
        <f t="shared" si="81"/>
        <v>8.7416662781481652E-5</v>
      </c>
      <c r="W102" s="2"/>
      <c r="X102" s="6">
        <f t="shared" si="82"/>
        <v>17.170000000000002</v>
      </c>
      <c r="Y102" s="2"/>
      <c r="Z102" s="7">
        <f t="shared" si="83"/>
        <v>0.28616666666666668</v>
      </c>
    </row>
    <row r="103" spans="1:26" s="24" customFormat="1" hidden="1" outlineLevel="2" x14ac:dyDescent="0.3">
      <c r="A103" s="27"/>
      <c r="B103" s="11" t="str">
        <f>CONCATENATE("          ", "6241", " - ", "OFFICE EXPENSE")</f>
        <v xml:space="preserve">          6241 - OFFICE EXPENSE</v>
      </c>
      <c r="C103" s="11"/>
      <c r="D103" s="6">
        <v>94.57</v>
      </c>
      <c r="E103" s="2"/>
      <c r="F103" s="7">
        <f t="shared" si="76"/>
        <v>2.1959042913593705E-4</v>
      </c>
      <c r="G103" s="2"/>
      <c r="H103" s="6">
        <v>45</v>
      </c>
      <c r="I103" s="2"/>
      <c r="J103" s="7">
        <f t="shared" si="77"/>
        <v>1.0072499613887514E-4</v>
      </c>
      <c r="K103" s="2"/>
      <c r="L103" s="6">
        <f t="shared" si="78"/>
        <v>49.569999999999993</v>
      </c>
      <c r="M103" s="2"/>
      <c r="N103" s="7">
        <f t="shared" si="79"/>
        <v>1.1015555555555554</v>
      </c>
      <c r="O103" s="11"/>
      <c r="P103" s="6">
        <v>226.05</v>
      </c>
      <c r="Q103" s="2"/>
      <c r="R103" s="7">
        <f t="shared" si="80"/>
        <v>3.8541082355669147E-4</v>
      </c>
      <c r="S103" s="2"/>
      <c r="T103" s="6">
        <v>90</v>
      </c>
      <c r="U103" s="2"/>
      <c r="V103" s="7">
        <f t="shared" si="81"/>
        <v>1.3112499417222248E-4</v>
      </c>
      <c r="W103" s="2"/>
      <c r="X103" s="6">
        <f t="shared" si="82"/>
        <v>136.05000000000001</v>
      </c>
      <c r="Y103" s="2"/>
      <c r="Z103" s="7">
        <f t="shared" si="83"/>
        <v>1.5116666666666667</v>
      </c>
    </row>
    <row r="104" spans="1:26" s="24" customFormat="1" hidden="1" outlineLevel="2" x14ac:dyDescent="0.3">
      <c r="A104" s="27"/>
      <c r="B104" s="11" t="str">
        <f>CONCATENATE("          ", "6247", " - ", "STORE SUPPLIES")</f>
        <v xml:space="preserve">          6247 - STORE SUPPLIES</v>
      </c>
      <c r="C104" s="11"/>
      <c r="D104" s="6">
        <v>2974.63</v>
      </c>
      <c r="E104" s="2"/>
      <c r="F104" s="7">
        <f t="shared" si="76"/>
        <v>6.9070559185855189E-3</v>
      </c>
      <c r="G104" s="2"/>
      <c r="H104" s="6">
        <v>50</v>
      </c>
      <c r="I104" s="2"/>
      <c r="J104" s="7">
        <f t="shared" si="77"/>
        <v>1.1191666237652794E-4</v>
      </c>
      <c r="K104" s="2"/>
      <c r="L104" s="6">
        <f t="shared" si="78"/>
        <v>2924.63</v>
      </c>
      <c r="M104" s="2"/>
      <c r="N104" s="7">
        <f t="shared" si="79"/>
        <v>58.492600000000003</v>
      </c>
      <c r="O104" s="11"/>
      <c r="P104" s="6">
        <v>5616.07</v>
      </c>
      <c r="Q104" s="2"/>
      <c r="R104" s="7">
        <f t="shared" si="80"/>
        <v>9.5752893778014957E-3</v>
      </c>
      <c r="S104" s="2"/>
      <c r="T104" s="6">
        <v>100</v>
      </c>
      <c r="U104" s="2"/>
      <c r="V104" s="7">
        <f t="shared" si="81"/>
        <v>1.4569443796913609E-4</v>
      </c>
      <c r="W104" s="2"/>
      <c r="X104" s="6">
        <f t="shared" si="82"/>
        <v>5516.07</v>
      </c>
      <c r="Y104" s="2"/>
      <c r="Z104" s="7">
        <f t="shared" si="83"/>
        <v>55.160699999999999</v>
      </c>
    </row>
    <row r="105" spans="1:26" s="28" customFormat="1" outlineLevel="1" collapsed="1" x14ac:dyDescent="0.3">
      <c r="A105" s="29"/>
      <c r="B105" s="14" t="str">
        <f>CONCATENATE("     ","Telephone/Data Lines                              ")</f>
        <v xml:space="preserve">     Telephone/Data Lines                              </v>
      </c>
      <c r="C105" s="14"/>
      <c r="D105" s="1">
        <f>SUM(OSRRefD22_18x_0)</f>
        <v>552.29</v>
      </c>
      <c r="E105" s="1"/>
      <c r="F105" s="5">
        <f t="shared" ref="F105:F109" si="84">IF(D$12=0,0,D105/D$12)</f>
        <v>1.2824108925397766E-3</v>
      </c>
      <c r="G105" s="1"/>
      <c r="H105" s="1">
        <f>SUM(OSRRefH22_18x_0)</f>
        <v>550</v>
      </c>
      <c r="I105" s="1"/>
      <c r="J105" s="5">
        <f t="shared" ref="J105:J109" si="85">IF(H$12=0,0,H105/H$12)</f>
        <v>1.2310832861418073E-3</v>
      </c>
      <c r="K105" s="1"/>
      <c r="L105" s="1">
        <f t="shared" ref="L105:L109" si="86">+D105-H105</f>
        <v>2.2899999999999636</v>
      </c>
      <c r="M105" s="1"/>
      <c r="N105" s="5">
        <f t="shared" ref="N105:N109" si="87">IF(H105=0,0,L105/H105)</f>
        <v>4.1636363636362974E-3</v>
      </c>
      <c r="O105" s="14"/>
      <c r="P105" s="1">
        <f>SUM(OSRRefP22_18x_0)</f>
        <v>819.18</v>
      </c>
      <c r="Q105" s="1"/>
      <c r="R105" s="5">
        <f t="shared" ref="R105:R109" si="88">IF(P$12=0,0,P105/P$12)</f>
        <v>1.3966858590629086E-3</v>
      </c>
      <c r="S105" s="1"/>
      <c r="T105" s="1">
        <f>SUM(OSRRefT22_18x_0)</f>
        <v>1100</v>
      </c>
      <c r="U105" s="1"/>
      <c r="V105" s="5">
        <f t="shared" ref="V105:V109" si="89">IF(T$12=0,0,T105/T$12)</f>
        <v>1.602638817660497E-3</v>
      </c>
      <c r="W105" s="1"/>
      <c r="X105" s="1">
        <f t="shared" ref="X105:X109" si="90">+P105-T105</f>
        <v>-280.82000000000005</v>
      </c>
      <c r="Y105" s="1"/>
      <c r="Z105" s="5">
        <f t="shared" ref="Z105:Z109" si="91">IF(T105=0,0,X105/T105)</f>
        <v>-0.25529090909090912</v>
      </c>
    </row>
    <row r="106" spans="1:26" s="24" customFormat="1" hidden="1" outlineLevel="2" x14ac:dyDescent="0.3">
      <c r="A106" s="27"/>
      <c r="B106" s="11" t="str">
        <f>CONCATENATE("          ", "6309", " - ", "TELEPHONE")</f>
        <v xml:space="preserve">          6309 - TELEPHONE</v>
      </c>
      <c r="C106" s="11"/>
      <c r="D106" s="6">
        <v>552.29</v>
      </c>
      <c r="E106" s="2"/>
      <c r="F106" s="7">
        <f t="shared" si="84"/>
        <v>1.2824108925397766E-3</v>
      </c>
      <c r="G106" s="2"/>
      <c r="H106" s="6">
        <v>550</v>
      </c>
      <c r="I106" s="2"/>
      <c r="J106" s="7">
        <f t="shared" si="85"/>
        <v>1.2310832861418073E-3</v>
      </c>
      <c r="K106" s="2"/>
      <c r="L106" s="6">
        <f t="shared" si="86"/>
        <v>2.2899999999999636</v>
      </c>
      <c r="M106" s="2"/>
      <c r="N106" s="7">
        <f t="shared" si="87"/>
        <v>4.1636363636362974E-3</v>
      </c>
      <c r="O106" s="11"/>
      <c r="P106" s="6">
        <v>819.18</v>
      </c>
      <c r="Q106" s="2"/>
      <c r="R106" s="7">
        <f t="shared" si="88"/>
        <v>1.3966858590629086E-3</v>
      </c>
      <c r="S106" s="2"/>
      <c r="T106" s="6">
        <v>1100</v>
      </c>
      <c r="U106" s="2"/>
      <c r="V106" s="7">
        <f t="shared" si="89"/>
        <v>1.602638817660497E-3</v>
      </c>
      <c r="W106" s="2"/>
      <c r="X106" s="6">
        <f t="shared" si="90"/>
        <v>-280.82000000000005</v>
      </c>
      <c r="Y106" s="2"/>
      <c r="Z106" s="7">
        <f t="shared" si="91"/>
        <v>-0.25529090909090912</v>
      </c>
    </row>
    <row r="107" spans="1:26" s="28" customFormat="1" outlineLevel="1" collapsed="1" x14ac:dyDescent="0.3">
      <c r="A107" s="29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SUM(OSRRefD22_19x_0)</f>
        <v>0</v>
      </c>
      <c r="E107" s="1"/>
      <c r="F107" s="5">
        <f t="shared" si="84"/>
        <v>0</v>
      </c>
      <c r="G107" s="1"/>
      <c r="H107" s="1">
        <f>SUM(OSRRefH22_19x_0)</f>
        <v>50</v>
      </c>
      <c r="I107" s="1"/>
      <c r="J107" s="5">
        <f t="shared" si="85"/>
        <v>1.1191666237652794E-4</v>
      </c>
      <c r="K107" s="1"/>
      <c r="L107" s="1">
        <f t="shared" si="86"/>
        <v>-50</v>
      </c>
      <c r="M107" s="1"/>
      <c r="N107" s="5">
        <f t="shared" si="87"/>
        <v>-1</v>
      </c>
      <c r="O107" s="14"/>
      <c r="P107" s="1">
        <f>SUM(OSRRefP22_19x_0)</f>
        <v>188.14</v>
      </c>
      <c r="Q107" s="1"/>
      <c r="R107" s="5">
        <f t="shared" si="88"/>
        <v>3.2077501589894235E-4</v>
      </c>
      <c r="S107" s="1"/>
      <c r="T107" s="1">
        <f>SUM(OSRRefT22_19x_0)</f>
        <v>100</v>
      </c>
      <c r="U107" s="1"/>
      <c r="V107" s="5">
        <f t="shared" si="89"/>
        <v>1.4569443796913609E-4</v>
      </c>
      <c r="W107" s="1"/>
      <c r="X107" s="1">
        <f t="shared" si="90"/>
        <v>88.139999999999986</v>
      </c>
      <c r="Y107" s="1"/>
      <c r="Z107" s="5">
        <f t="shared" si="91"/>
        <v>0.88139999999999985</v>
      </c>
    </row>
    <row r="108" spans="1:26" s="24" customFormat="1" hidden="1" outlineLevel="2" x14ac:dyDescent="0.3">
      <c r="A108" s="27"/>
      <c r="B108" s="11" t="str">
        <f>CONCATENATE("          ", "6294", " - ", "TRAVEL OPERATIONAL")</f>
        <v xml:space="preserve">          6294 - TRAVEL OPERATIONAL</v>
      </c>
      <c r="C108" s="11"/>
      <c r="D108" s="6"/>
      <c r="E108" s="2"/>
      <c r="F108" s="7">
        <f t="shared" si="84"/>
        <v>0</v>
      </c>
      <c r="G108" s="2"/>
      <c r="H108" s="6">
        <v>25</v>
      </c>
      <c r="I108" s="2"/>
      <c r="J108" s="7">
        <f t="shared" si="85"/>
        <v>5.5958331188263969E-5</v>
      </c>
      <c r="K108" s="2"/>
      <c r="L108" s="6">
        <f t="shared" si="86"/>
        <v>-25</v>
      </c>
      <c r="M108" s="2"/>
      <c r="N108" s="7">
        <f t="shared" si="87"/>
        <v>-1</v>
      </c>
      <c r="O108" s="11"/>
      <c r="P108" s="6">
        <v>188.14</v>
      </c>
      <c r="Q108" s="2"/>
      <c r="R108" s="7">
        <f t="shared" si="88"/>
        <v>3.2077501589894235E-4</v>
      </c>
      <c r="S108" s="2"/>
      <c r="T108" s="6">
        <v>50</v>
      </c>
      <c r="U108" s="2"/>
      <c r="V108" s="7">
        <f t="shared" si="89"/>
        <v>7.2847218984568044E-5</v>
      </c>
      <c r="W108" s="2"/>
      <c r="X108" s="6">
        <f t="shared" si="90"/>
        <v>138.13999999999999</v>
      </c>
      <c r="Y108" s="2"/>
      <c r="Z108" s="7">
        <f t="shared" si="91"/>
        <v>2.7627999999999999</v>
      </c>
    </row>
    <row r="109" spans="1:26" s="24" customFormat="1" hidden="1" outlineLevel="2" x14ac:dyDescent="0.3">
      <c r="A109" s="27"/>
      <c r="B109" s="11" t="str">
        <f>CONCATENATE("          ", "6298", " - ", "VEHICLE MILEAGE")</f>
        <v xml:space="preserve">          6298 - VEHICLE MILEAGE</v>
      </c>
      <c r="C109" s="11"/>
      <c r="D109" s="6"/>
      <c r="E109" s="2"/>
      <c r="F109" s="7">
        <f t="shared" si="84"/>
        <v>0</v>
      </c>
      <c r="G109" s="2"/>
      <c r="H109" s="6">
        <v>25</v>
      </c>
      <c r="I109" s="2"/>
      <c r="J109" s="7">
        <f t="shared" si="85"/>
        <v>5.5958331188263969E-5</v>
      </c>
      <c r="K109" s="2"/>
      <c r="L109" s="6">
        <f t="shared" si="86"/>
        <v>-25</v>
      </c>
      <c r="M109" s="2"/>
      <c r="N109" s="7">
        <f t="shared" si="87"/>
        <v>-1</v>
      </c>
      <c r="O109" s="11"/>
      <c r="P109" s="6"/>
      <c r="Q109" s="2"/>
      <c r="R109" s="7">
        <f t="shared" si="88"/>
        <v>0</v>
      </c>
      <c r="S109" s="2"/>
      <c r="T109" s="6">
        <v>50</v>
      </c>
      <c r="U109" s="2"/>
      <c r="V109" s="7">
        <f t="shared" si="89"/>
        <v>7.2847218984568044E-5</v>
      </c>
      <c r="W109" s="2"/>
      <c r="X109" s="6">
        <f t="shared" si="90"/>
        <v>-50</v>
      </c>
      <c r="Y109" s="2"/>
      <c r="Z109" s="7">
        <f t="shared" si="91"/>
        <v>-1</v>
      </c>
    </row>
    <row r="110" spans="1:26" s="28" customFormat="1" outlineLevel="1" collapsed="1" x14ac:dyDescent="0.3">
      <c r="A110" s="29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SUM(OSRRefD22_20x_0)</f>
        <v>37.29</v>
      </c>
      <c r="E110" s="1"/>
      <c r="F110" s="5">
        <f t="shared" ref="F110:F111" si="92">IF(D$12=0,0,D110/D$12)</f>
        <v>8.6586941973977932E-5</v>
      </c>
      <c r="G110" s="1"/>
      <c r="H110" s="1">
        <f>SUM(OSRRefH22_20x_0)</f>
        <v>120</v>
      </c>
      <c r="I110" s="1"/>
      <c r="J110" s="5">
        <f t="shared" ref="J110:J111" si="93">IF(H$12=0,0,H110/H$12)</f>
        <v>2.6859998970366706E-4</v>
      </c>
      <c r="K110" s="1"/>
      <c r="L110" s="1">
        <f t="shared" ref="L110:L111" si="94">+D110-H110</f>
        <v>-82.710000000000008</v>
      </c>
      <c r="M110" s="1"/>
      <c r="N110" s="5">
        <f t="shared" ref="N110:N111" si="95">IF(H110=0,0,L110/H110)</f>
        <v>-0.68925000000000003</v>
      </c>
      <c r="O110" s="14"/>
      <c r="P110" s="1">
        <f>SUM(OSRRefP22_20x_0)</f>
        <v>73.78</v>
      </c>
      <c r="Q110" s="1"/>
      <c r="R110" s="5">
        <f t="shared" ref="R110:R111" si="96">IF(P$12=0,0,P110/P$12)</f>
        <v>1.2579345526216631E-4</v>
      </c>
      <c r="S110" s="1"/>
      <c r="T110" s="1">
        <f>SUM(OSRRefT22_20x_0)</f>
        <v>240</v>
      </c>
      <c r="U110" s="1"/>
      <c r="V110" s="5">
        <f t="shared" ref="V110:V111" si="97">IF(T$12=0,0,T110/T$12)</f>
        <v>3.4966665112592661E-4</v>
      </c>
      <c r="W110" s="1"/>
      <c r="X110" s="1">
        <f t="shared" ref="X110:X111" si="98">+P110-T110</f>
        <v>-166.22</v>
      </c>
      <c r="Y110" s="1"/>
      <c r="Z110" s="5">
        <f t="shared" ref="Z110:Z111" si="99">IF(T110=0,0,X110/T110)</f>
        <v>-0.69258333333333333</v>
      </c>
    </row>
    <row r="111" spans="1:26" s="24" customFormat="1" hidden="1" outlineLevel="2" x14ac:dyDescent="0.3">
      <c r="A111" s="27"/>
      <c r="B111" s="11" t="str">
        <f>CONCATENATE("          ", "6274", " - ", "UTILITIES")</f>
        <v xml:space="preserve">          6274 - UTILITIES</v>
      </c>
      <c r="C111" s="11"/>
      <c r="D111" s="6">
        <v>37.29</v>
      </c>
      <c r="E111" s="2"/>
      <c r="F111" s="7">
        <f t="shared" si="92"/>
        <v>8.6586941973977932E-5</v>
      </c>
      <c r="G111" s="2"/>
      <c r="H111" s="6">
        <v>120</v>
      </c>
      <c r="I111" s="2"/>
      <c r="J111" s="7">
        <f t="shared" si="93"/>
        <v>2.6859998970366706E-4</v>
      </c>
      <c r="K111" s="2"/>
      <c r="L111" s="6">
        <f t="shared" si="94"/>
        <v>-82.710000000000008</v>
      </c>
      <c r="M111" s="2"/>
      <c r="N111" s="7">
        <f t="shared" si="95"/>
        <v>-0.68925000000000003</v>
      </c>
      <c r="O111" s="11"/>
      <c r="P111" s="6">
        <v>73.78</v>
      </c>
      <c r="Q111" s="2"/>
      <c r="R111" s="7">
        <f t="shared" si="96"/>
        <v>1.2579345526216631E-4</v>
      </c>
      <c r="S111" s="2"/>
      <c r="T111" s="6">
        <v>240</v>
      </c>
      <c r="U111" s="2"/>
      <c r="V111" s="7">
        <f t="shared" si="97"/>
        <v>3.4966665112592661E-4</v>
      </c>
      <c r="W111" s="2"/>
      <c r="X111" s="6">
        <f t="shared" si="98"/>
        <v>-166.22</v>
      </c>
      <c r="Y111" s="2"/>
      <c r="Z111" s="7">
        <f t="shared" si="99"/>
        <v>-0.69258333333333333</v>
      </c>
    </row>
    <row r="112" spans="1:26" s="53" customFormat="1" x14ac:dyDescent="0.3">
      <c r="A112" s="36"/>
      <c r="B112" s="36"/>
      <c r="C112" s="36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6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3">
      <c r="A113" s="10"/>
      <c r="B113" s="25" t="s">
        <v>293</v>
      </c>
      <c r="C113" s="10"/>
      <c r="D113" s="4">
        <f>SUM(OSRRefD25x_0)</f>
        <v>56991</v>
      </c>
      <c r="E113" s="4"/>
      <c r="F113" s="12">
        <f t="shared" ref="F113:F116" si="100">IF(D$12=0,0,D113/D$12)</f>
        <v>0.13233243255669017</v>
      </c>
      <c r="G113" s="4"/>
      <c r="H113" s="4">
        <f>SUM(OSRRefH25x_0)</f>
        <v>0</v>
      </c>
      <c r="I113" s="4"/>
      <c r="J113" s="12">
        <f t="shared" ref="J113:J116" si="101">IF(H$12=0,0,H113/H$12)</f>
        <v>0</v>
      </c>
      <c r="K113" s="4"/>
      <c r="L113" s="4">
        <f t="shared" ref="L113:L116" si="102">+D113-H113</f>
        <v>56991</v>
      </c>
      <c r="M113" s="4"/>
      <c r="N113" s="12">
        <f t="shared" ref="N113:N116" si="103">IF(H113=0,0,L113/H113)</f>
        <v>0</v>
      </c>
      <c r="O113" s="10"/>
      <c r="P113" s="4">
        <f>SUM(OSRRefP25x_0)</f>
        <v>92073.02</v>
      </c>
      <c r="Q113" s="4"/>
      <c r="R113" s="12">
        <f t="shared" ref="R113:R116" si="104">IF(P$12=0,0,P113/P$12)</f>
        <v>0.15698269615373467</v>
      </c>
      <c r="S113" s="4"/>
      <c r="T113" s="4">
        <f>SUM(OSRRefT25x_0)</f>
        <v>11344</v>
      </c>
      <c r="U113" s="4"/>
      <c r="V113" s="12">
        <f t="shared" ref="V113:V116" si="105">IF(T$12=0,0,T113/T$12)</f>
        <v>1.6527577043218798E-2</v>
      </c>
      <c r="W113" s="4"/>
      <c r="X113" s="4">
        <f t="shared" ref="X113:X116" si="106">+P113-T113</f>
        <v>80729.02</v>
      </c>
      <c r="Y113" s="4"/>
      <c r="Z113" s="12">
        <f t="shared" ref="Z113:Z116" si="107">IF(T113=0,0,X113/T113)</f>
        <v>7.1164509873060648</v>
      </c>
    </row>
    <row r="114" spans="1:26" s="24" customFormat="1" hidden="1" outlineLevel="1" x14ac:dyDescent="0.3">
      <c r="A114" s="44"/>
      <c r="B114" s="11" t="str">
        <f>CONCATENATE("          ", "9150", " - ", "MISC. INCOME")</f>
        <v xml:space="preserve">          9150 - MISC. INCOME</v>
      </c>
      <c r="C114" s="11"/>
      <c r="D114" s="2">
        <f t="shared" ref="D114:D115" si="108">0</f>
        <v>0</v>
      </c>
      <c r="E114" s="2"/>
      <c r="F114" s="19">
        <f t="shared" si="100"/>
        <v>0</v>
      </c>
      <c r="G114" s="2"/>
      <c r="H114" s="2">
        <v>0</v>
      </c>
      <c r="I114" s="2"/>
      <c r="J114" s="19">
        <f t="shared" si="101"/>
        <v>0</v>
      </c>
      <c r="K114" s="2"/>
      <c r="L114" s="2">
        <f t="shared" si="102"/>
        <v>0</v>
      </c>
      <c r="M114" s="2"/>
      <c r="N114" s="19">
        <f t="shared" si="103"/>
        <v>0</v>
      </c>
      <c r="O114" s="11"/>
      <c r="P114" s="2">
        <f>--28753.08</f>
        <v>28753.08</v>
      </c>
      <c r="Q114" s="2"/>
      <c r="R114" s="19">
        <f t="shared" si="104"/>
        <v>4.9023438365810371E-2</v>
      </c>
      <c r="S114" s="2"/>
      <c r="T114" s="2">
        <v>11344</v>
      </c>
      <c r="U114" s="2"/>
      <c r="V114" s="19">
        <f t="shared" si="105"/>
        <v>1.6527577043218798E-2</v>
      </c>
      <c r="W114" s="2"/>
      <c r="X114" s="2">
        <f t="shared" si="106"/>
        <v>17409.080000000002</v>
      </c>
      <c r="Y114" s="2"/>
      <c r="Z114" s="19">
        <f t="shared" si="107"/>
        <v>1.5346509167842033</v>
      </c>
    </row>
    <row r="115" spans="1:26" s="24" customFormat="1" hidden="1" outlineLevel="1" x14ac:dyDescent="0.3">
      <c r="A115" s="44"/>
      <c r="B115" s="11" t="str">
        <f>CONCATENATE("          ", "9160", " - ", "MISC. INCOME")</f>
        <v xml:space="preserve">          9160 - MISC. INCOME</v>
      </c>
      <c r="C115" s="11"/>
      <c r="D115" s="2">
        <f t="shared" si="108"/>
        <v>0</v>
      </c>
      <c r="E115" s="2"/>
      <c r="F115" s="19">
        <f t="shared" si="100"/>
        <v>0</v>
      </c>
      <c r="G115" s="2"/>
      <c r="H115" s="2"/>
      <c r="I115" s="2"/>
      <c r="J115" s="19">
        <f t="shared" si="101"/>
        <v>0</v>
      </c>
      <c r="K115" s="2"/>
      <c r="L115" s="2">
        <f t="shared" si="102"/>
        <v>0</v>
      </c>
      <c r="M115" s="2"/>
      <c r="N115" s="19">
        <f t="shared" si="103"/>
        <v>0</v>
      </c>
      <c r="O115" s="11"/>
      <c r="P115" s="2">
        <f>0</f>
        <v>0</v>
      </c>
      <c r="Q115" s="2"/>
      <c r="R115" s="19">
        <f t="shared" si="104"/>
        <v>0</v>
      </c>
      <c r="S115" s="2"/>
      <c r="T115" s="2">
        <v>0</v>
      </c>
      <c r="U115" s="2"/>
      <c r="V115" s="19">
        <f t="shared" si="105"/>
        <v>0</v>
      </c>
      <c r="W115" s="2"/>
      <c r="X115" s="2">
        <f t="shared" si="106"/>
        <v>0</v>
      </c>
      <c r="Y115" s="2"/>
      <c r="Z115" s="19">
        <f t="shared" si="107"/>
        <v>0</v>
      </c>
    </row>
    <row r="116" spans="1:26" s="24" customFormat="1" hidden="1" outlineLevel="1" x14ac:dyDescent="0.3">
      <c r="A116" s="44"/>
      <c r="B116" s="11" t="str">
        <f>CONCATENATE("          ", "9163", " - ", "MISC. INCOME")</f>
        <v xml:space="preserve">          9163 - MISC. INCOME</v>
      </c>
      <c r="C116" s="11"/>
      <c r="D116" s="2">
        <f>--56991</f>
        <v>56991</v>
      </c>
      <c r="E116" s="2"/>
      <c r="F116" s="19">
        <f t="shared" si="100"/>
        <v>0.13233243255669017</v>
      </c>
      <c r="G116" s="2"/>
      <c r="H116" s="2"/>
      <c r="I116" s="2"/>
      <c r="J116" s="19">
        <f t="shared" si="101"/>
        <v>0</v>
      </c>
      <c r="K116" s="2"/>
      <c r="L116" s="2">
        <f t="shared" si="102"/>
        <v>56991</v>
      </c>
      <c r="M116" s="2"/>
      <c r="N116" s="19">
        <f t="shared" si="103"/>
        <v>0</v>
      </c>
      <c r="O116" s="11"/>
      <c r="P116" s="2">
        <f>--63319.94</f>
        <v>63319.94</v>
      </c>
      <c r="Q116" s="2"/>
      <c r="R116" s="19">
        <f t="shared" si="104"/>
        <v>0.10795925778792431</v>
      </c>
      <c r="S116" s="2"/>
      <c r="T116" s="2"/>
      <c r="U116" s="2"/>
      <c r="V116" s="19">
        <f t="shared" si="105"/>
        <v>0</v>
      </c>
      <c r="W116" s="2"/>
      <c r="X116" s="2">
        <f t="shared" si="106"/>
        <v>63319.94</v>
      </c>
      <c r="Y116" s="2"/>
      <c r="Z116" s="19">
        <f t="shared" si="107"/>
        <v>0</v>
      </c>
    </row>
    <row r="117" spans="1:26" x14ac:dyDescent="0.3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3">
      <c r="A118" s="10"/>
      <c r="B118" s="26" t="s">
        <v>277</v>
      </c>
      <c r="C118" s="26"/>
      <c r="D118" s="21">
        <f>+D39-D41+D113</f>
        <v>208636.18</v>
      </c>
      <c r="E118" s="13"/>
      <c r="F118" s="20">
        <f>IF(D$12=0,0,D118/D$12)</f>
        <v>0.48445075922049924</v>
      </c>
      <c r="G118" s="13"/>
      <c r="H118" s="21">
        <f>+H39-H41+H113</f>
        <v>118212.60529230768</v>
      </c>
      <c r="I118" s="13"/>
      <c r="J118" s="20">
        <f>IF(H$12=0,0,H118/H$12)</f>
        <v>0.26459920470297915</v>
      </c>
      <c r="K118" s="16"/>
      <c r="L118" s="21">
        <f>+D118-H118</f>
        <v>90423.574707692314</v>
      </c>
      <c r="M118" s="16"/>
      <c r="N118" s="20">
        <f>IF(H118=0,0,L118/H118)</f>
        <v>0.76492328786849217</v>
      </c>
      <c r="O118" s="25"/>
      <c r="P118" s="21">
        <f>+P39-P41+P113</f>
        <v>220657.31999999995</v>
      </c>
      <c r="Q118" s="13"/>
      <c r="R118" s="20">
        <f>IF(P$12=0,0,P118/P$12)</f>
        <v>0.37621640975453391</v>
      </c>
      <c r="S118" s="13"/>
      <c r="T118" s="21">
        <f>+T39-T41+T113</f>
        <v>106941.61190769234</v>
      </c>
      <c r="U118" s="13"/>
      <c r="V118" s="20">
        <f>IF(T$12=0,0,T118/T$12)</f>
        <v>0.15580798042404706</v>
      </c>
      <c r="W118" s="16"/>
      <c r="X118" s="21">
        <f>+P118-T118</f>
        <v>113715.70809230761</v>
      </c>
      <c r="Y118" s="16"/>
      <c r="Z118" s="20">
        <f>IF(T118=0,0,X118/T118)</f>
        <v>1.0633438758194742</v>
      </c>
    </row>
    <row r="119" spans="1:26" x14ac:dyDescent="0.3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3">
      <c r="A120" s="52"/>
      <c r="B120" s="10" t="s">
        <v>128</v>
      </c>
      <c r="C120" s="10"/>
      <c r="D120" s="4">
        <v>15642.22</v>
      </c>
      <c r="E120" s="4"/>
      <c r="F120" s="12">
        <f>IF(D$12=0,0,D120/D$12)</f>
        <v>3.6321051099066699E-2</v>
      </c>
      <c r="G120" s="4"/>
      <c r="H120" s="4">
        <v>-9904</v>
      </c>
      <c r="I120" s="4"/>
      <c r="J120" s="12">
        <f>IF(H$12=0,0,H120/H$12)</f>
        <v>-2.2168452483542656E-2</v>
      </c>
      <c r="K120" s="4"/>
      <c r="L120" s="4">
        <f>+D120-H120</f>
        <v>25546.22</v>
      </c>
      <c r="M120" s="4"/>
      <c r="N120" s="12">
        <f>IF(H120=0,0,L120/H120)</f>
        <v>-2.57938408723748</v>
      </c>
      <c r="O120" s="10"/>
      <c r="P120" s="4">
        <v>87645.02</v>
      </c>
      <c r="Q120" s="4"/>
      <c r="R120" s="12">
        <f>IF(P$12=0,0,P120/P$12)</f>
        <v>0.14943304286150275</v>
      </c>
      <c r="S120" s="4"/>
      <c r="T120" s="4">
        <v>76870</v>
      </c>
      <c r="U120" s="4"/>
      <c r="V120" s="12">
        <f>IF(T$12=0,0,T120/T$12)</f>
        <v>0.11199531446687491</v>
      </c>
      <c r="W120" s="4"/>
      <c r="X120" s="4">
        <f>+P120-T120</f>
        <v>10775.020000000004</v>
      </c>
      <c r="Y120" s="4"/>
      <c r="Z120" s="12">
        <f>IF(T120=0,0,X120/T120)</f>
        <v>0.14017197866527908</v>
      </c>
    </row>
    <row r="121" spans="1:26" x14ac:dyDescent="0.3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" thickBot="1" x14ac:dyDescent="0.35">
      <c r="A122" s="10"/>
      <c r="B122" s="26" t="s">
        <v>126</v>
      </c>
      <c r="C122" s="26"/>
      <c r="D122" s="30">
        <f>+D118-D120</f>
        <v>192993.96</v>
      </c>
      <c r="E122" s="13"/>
      <c r="F122" s="35">
        <f>IF(D$12=0,0,D122/D$12)</f>
        <v>0.44812970812143249</v>
      </c>
      <c r="G122" s="13"/>
      <c r="H122" s="30">
        <f>+H118-H120</f>
        <v>128116.60529230768</v>
      </c>
      <c r="I122" s="13"/>
      <c r="J122" s="35">
        <f>IF(H$12=0,0,H122/H$12)</f>
        <v>0.28676765718652181</v>
      </c>
      <c r="K122" s="16"/>
      <c r="L122" s="30">
        <f>D122-H122</f>
        <v>64877.354707692313</v>
      </c>
      <c r="M122" s="16"/>
      <c r="N122" s="35">
        <f>IF(H122=0,0,L122/H122)</f>
        <v>0.50639302032449074</v>
      </c>
      <c r="O122" s="25"/>
      <c r="P122" s="30">
        <f>+P118-P120</f>
        <v>133012.29999999993</v>
      </c>
      <c r="Q122" s="13"/>
      <c r="R122" s="35">
        <f>IF(P$12=0,0,P122/P$12)</f>
        <v>0.22678336689303111</v>
      </c>
      <c r="S122" s="13"/>
      <c r="T122" s="30">
        <f>+T118-T120</f>
        <v>30071.611907692335</v>
      </c>
      <c r="U122" s="13"/>
      <c r="V122" s="35">
        <f>IF(T$12=0,0,T122/T$12)</f>
        <v>4.3812665957172155E-2</v>
      </c>
      <c r="W122" s="16"/>
      <c r="X122" s="30">
        <f>P122-T122</f>
        <v>102940.6880923076</v>
      </c>
      <c r="Y122" s="16"/>
      <c r="Z122" s="35">
        <f>IF(T122=0,0,X122/T122)</f>
        <v>3.4231849096847151</v>
      </c>
    </row>
    <row r="123" spans="1:26" ht="15" thickTop="1" x14ac:dyDescent="0.3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3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" thickBot="1" x14ac:dyDescent="0.35">
      <c r="A125" s="10"/>
      <c r="B125" s="26" t="s">
        <v>294</v>
      </c>
      <c r="C125" s="26"/>
      <c r="D125" s="32">
        <f>SUM(D122:D124)</f>
        <v>192993.96</v>
      </c>
      <c r="E125" s="13"/>
      <c r="F125" s="34">
        <f>IF(D$12=0,0,D125/D$12)</f>
        <v>0.44812970812143249</v>
      </c>
      <c r="G125" s="13"/>
      <c r="H125" s="32">
        <f>SUM(H122:H124)</f>
        <v>128116.60529230768</v>
      </c>
      <c r="I125" s="13"/>
      <c r="J125" s="34">
        <f>IF(H$12=0,0,H125/H$12)</f>
        <v>0.28676765718652181</v>
      </c>
      <c r="K125" s="16"/>
      <c r="L125" s="32">
        <f>+D125-H125</f>
        <v>64877.354707692313</v>
      </c>
      <c r="M125" s="16"/>
      <c r="N125" s="34">
        <f>IF(H125=0,0,L125/H125)</f>
        <v>0.50639302032449074</v>
      </c>
      <c r="O125" s="25"/>
      <c r="P125" s="32">
        <f>SUM(P122:P124)</f>
        <v>133012.29999999993</v>
      </c>
      <c r="Q125" s="13"/>
      <c r="R125" s="34">
        <f>IF(P$12=0,0,P125/P$12)</f>
        <v>0.22678336689303111</v>
      </c>
      <c r="S125" s="13"/>
      <c r="T125" s="32">
        <f>SUM(T122:T124)</f>
        <v>30071.611907692335</v>
      </c>
      <c r="U125" s="13"/>
      <c r="V125" s="34">
        <f>IF(T$12=0,0,T125/T$12)</f>
        <v>4.3812665957172155E-2</v>
      </c>
      <c r="W125" s="16"/>
      <c r="X125" s="32">
        <f>+P125-T125</f>
        <v>102940.6880923076</v>
      </c>
      <c r="Y125" s="16"/>
      <c r="Z125" s="34">
        <f>IF(T125=0,0,X125/T125)</f>
        <v>3.4231849096847151</v>
      </c>
    </row>
    <row r="126" spans="1:26" ht="15" thickTop="1" x14ac:dyDescent="0.3">
      <c r="A126" s="9"/>
      <c r="C126" s="9"/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3">
      <c r="A127" s="9"/>
      <c r="B127" s="61">
        <v>44470.835479664354</v>
      </c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3">
      <c r="A128" s="9"/>
      <c r="B128" s="58" t="s">
        <v>56</v>
      </c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3">
      <c r="A129" s="9"/>
      <c r="B129" s="55"/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3"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</sheetPr>
  <dimension ref="A2:Z11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","315", " - ", "Bookstore Retail")</f>
        <v>Department 315 - Bookstore Retail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395630.21</v>
      </c>
      <c r="E12" s="4"/>
      <c r="F12" s="12"/>
      <c r="G12" s="4"/>
      <c r="H12" s="4">
        <f>SUM(OSRRefH13x_0)</f>
        <v>420181</v>
      </c>
      <c r="I12" s="4"/>
      <c r="J12" s="12"/>
      <c r="K12" s="4"/>
      <c r="L12" s="4">
        <f t="shared" ref="L12:L16" si="0">+D12-H12</f>
        <v>-24550.789999999979</v>
      </c>
      <c r="M12" s="4"/>
      <c r="N12" s="12">
        <f t="shared" ref="N12:N16" si="1">IF(H12=0,0,L12/H12)</f>
        <v>-5.8429081752863599E-2</v>
      </c>
      <c r="O12" s="10"/>
      <c r="P12" s="4">
        <f>SUM(OSRRefP13x_0)</f>
        <v>519670.93999999994</v>
      </c>
      <c r="Q12" s="4"/>
      <c r="R12" s="12"/>
      <c r="S12" s="4"/>
      <c r="T12" s="4">
        <f>SUM(OSRRefT13x_0)</f>
        <v>628671</v>
      </c>
      <c r="U12" s="4"/>
      <c r="V12" s="12"/>
      <c r="W12" s="4"/>
      <c r="X12" s="4">
        <f t="shared" ref="X12:X16" si="2">+P12-T12</f>
        <v>-109000.06000000006</v>
      </c>
      <c r="Y12" s="4"/>
      <c r="Z12" s="12">
        <f t="shared" ref="Z12:Z16" si="3">IF(T12=0,0,X12/T12)</f>
        <v>-0.17338172112281314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--377298.06</f>
        <v>377298.06</v>
      </c>
      <c r="E13" s="2"/>
      <c r="F13" s="19"/>
      <c r="G13" s="2"/>
      <c r="H13" s="2">
        <v>420181</v>
      </c>
      <c r="I13" s="2"/>
      <c r="J13" s="19"/>
      <c r="K13" s="2"/>
      <c r="L13" s="2">
        <f t="shared" si="0"/>
        <v>-42882.94</v>
      </c>
      <c r="M13" s="2"/>
      <c r="N13" s="19">
        <f t="shared" si="1"/>
        <v>-0.10205825584688503</v>
      </c>
      <c r="O13" s="11"/>
      <c r="P13" s="2">
        <f>--495475.65</f>
        <v>495475.65</v>
      </c>
      <c r="Q13" s="2"/>
      <c r="R13" s="19"/>
      <c r="S13" s="2"/>
      <c r="T13" s="2">
        <v>628671</v>
      </c>
      <c r="U13" s="2"/>
      <c r="V13" s="19"/>
      <c r="W13" s="2"/>
      <c r="X13" s="2">
        <f t="shared" si="2"/>
        <v>-133195.34999999998</v>
      </c>
      <c r="Y13" s="2"/>
      <c r="Z13" s="19">
        <f t="shared" si="3"/>
        <v>-0.21186813134373939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--25658.79</f>
        <v>25658.79</v>
      </c>
      <c r="E14" s="2"/>
      <c r="F14" s="19"/>
      <c r="G14" s="2"/>
      <c r="H14" s="2"/>
      <c r="I14" s="2"/>
      <c r="J14" s="19"/>
      <c r="K14" s="2"/>
      <c r="L14" s="2">
        <f t="shared" si="0"/>
        <v>25658.79</v>
      </c>
      <c r="M14" s="2"/>
      <c r="N14" s="19">
        <f t="shared" si="1"/>
        <v>0</v>
      </c>
      <c r="O14" s="11"/>
      <c r="P14" s="2">
        <f>--35273.58</f>
        <v>35273.58</v>
      </c>
      <c r="Q14" s="2"/>
      <c r="R14" s="19"/>
      <c r="S14" s="2"/>
      <c r="T14" s="2"/>
      <c r="U14" s="2"/>
      <c r="V14" s="19"/>
      <c r="W14" s="2"/>
      <c r="X14" s="2">
        <f t="shared" si="2"/>
        <v>35273.58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-7228.29</f>
        <v>-7228.29</v>
      </c>
      <c r="E15" s="2"/>
      <c r="F15" s="19"/>
      <c r="G15" s="2"/>
      <c r="H15" s="2"/>
      <c r="I15" s="2"/>
      <c r="J15" s="19"/>
      <c r="K15" s="2"/>
      <c r="L15" s="2">
        <f t="shared" si="0"/>
        <v>-7228.29</v>
      </c>
      <c r="M15" s="2"/>
      <c r="N15" s="19">
        <f t="shared" si="1"/>
        <v>0</v>
      </c>
      <c r="O15" s="11"/>
      <c r="P15" s="2">
        <f>-10860.09</f>
        <v>-10860.09</v>
      </c>
      <c r="Q15" s="2"/>
      <c r="R15" s="19"/>
      <c r="S15" s="2"/>
      <c r="T15" s="2"/>
      <c r="U15" s="2"/>
      <c r="V15" s="19"/>
      <c r="W15" s="2"/>
      <c r="X15" s="2">
        <f t="shared" si="2"/>
        <v>-10860.09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-98.35</f>
        <v>-98.35</v>
      </c>
      <c r="E16" s="2"/>
      <c r="F16" s="19"/>
      <c r="G16" s="2"/>
      <c r="H16" s="2"/>
      <c r="I16" s="2"/>
      <c r="J16" s="19"/>
      <c r="K16" s="2"/>
      <c r="L16" s="2">
        <f t="shared" si="0"/>
        <v>-98.35</v>
      </c>
      <c r="M16" s="2"/>
      <c r="N16" s="19">
        <f t="shared" si="1"/>
        <v>0</v>
      </c>
      <c r="O16" s="11"/>
      <c r="P16" s="2">
        <f>-218.2</f>
        <v>-218.2</v>
      </c>
      <c r="Q16" s="2"/>
      <c r="R16" s="19"/>
      <c r="S16" s="2"/>
      <c r="T16" s="2"/>
      <c r="U16" s="2"/>
      <c r="V16" s="19"/>
      <c r="W16" s="2"/>
      <c r="X16" s="2">
        <f t="shared" si="2"/>
        <v>-218.2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163570.48000000004</v>
      </c>
      <c r="E18" s="4"/>
      <c r="F18" s="12">
        <f t="shared" ref="F18:F37" si="4">IF(D$12=0,0,D18/D$12)</f>
        <v>0.41344284603544312</v>
      </c>
      <c r="G18" s="4"/>
      <c r="H18" s="4">
        <f>SUM(OSRRefH16x_0)</f>
        <v>221938</v>
      </c>
      <c r="I18" s="4"/>
      <c r="J18" s="12">
        <f t="shared" ref="J18:J37" si="5">IF(H$12=0,0,H18/H$12)</f>
        <v>0.52819618212151431</v>
      </c>
      <c r="K18" s="4"/>
      <c r="L18" s="4">
        <f t="shared" ref="L18:L37" si="6">+D18-H18</f>
        <v>-58367.51999999996</v>
      </c>
      <c r="M18" s="4"/>
      <c r="N18" s="12">
        <f t="shared" ref="N18:N37" si="7">IF(H18=0,0,L18/H18)</f>
        <v>-0.26299020447151888</v>
      </c>
      <c r="O18" s="10"/>
      <c r="P18" s="4">
        <f>SUM(OSRRefP16x_0)</f>
        <v>230307.84</v>
      </c>
      <c r="Q18" s="4"/>
      <c r="R18" s="12">
        <f t="shared" ref="R18:R37" si="8">IF(P$12=0,0,P18/P$12)</f>
        <v>0.44318014010943158</v>
      </c>
      <c r="S18" s="4"/>
      <c r="T18" s="4">
        <f>SUM(OSRRefT16x_0)</f>
        <v>348496</v>
      </c>
      <c r="U18" s="4"/>
      <c r="V18" s="12">
        <f t="shared" ref="V18:V37" si="9">IF(T$12=0,0,T18/T$12)</f>
        <v>0.55433764242346151</v>
      </c>
      <c r="W18" s="4"/>
      <c r="X18" s="4">
        <f t="shared" ref="X18:X37" si="10">+P18-T18</f>
        <v>-118188.16</v>
      </c>
      <c r="Y18" s="4"/>
      <c r="Z18" s="12">
        <f t="shared" ref="Z18:Z37" si="11">IF(T18=0,0,X18/T18)</f>
        <v>-0.33913778063449795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63702.01</v>
      </c>
      <c r="E19" s="2"/>
      <c r="F19" s="19">
        <f t="shared" si="4"/>
        <v>0.16101401862107548</v>
      </c>
      <c r="G19" s="2"/>
      <c r="H19" s="2">
        <v>221938</v>
      </c>
      <c r="I19" s="2"/>
      <c r="J19" s="19">
        <f t="shared" si="5"/>
        <v>0.52819618212151431</v>
      </c>
      <c r="K19" s="2"/>
      <c r="L19" s="2">
        <f t="shared" si="6"/>
        <v>-158235.99</v>
      </c>
      <c r="M19" s="2"/>
      <c r="N19" s="19">
        <f t="shared" si="7"/>
        <v>-0.71297384855229839</v>
      </c>
      <c r="O19" s="11"/>
      <c r="P19" s="2">
        <v>144257.64000000001</v>
      </c>
      <c r="Q19" s="2"/>
      <c r="R19" s="19">
        <f t="shared" si="8"/>
        <v>0.27759420220803577</v>
      </c>
      <c r="S19" s="2"/>
      <c r="T19" s="2">
        <v>348496</v>
      </c>
      <c r="U19" s="2"/>
      <c r="V19" s="19">
        <f t="shared" si="9"/>
        <v>0.55433764242346151</v>
      </c>
      <c r="W19" s="2"/>
      <c r="X19" s="2">
        <f t="shared" si="10"/>
        <v>-204238.36</v>
      </c>
      <c r="Y19" s="2"/>
      <c r="Z19" s="19">
        <f t="shared" si="11"/>
        <v>-0.58605654010376007</v>
      </c>
    </row>
    <row r="20" spans="1:26" s="24" customFormat="1" hidden="1" outlineLevel="1" x14ac:dyDescent="0.3">
      <c r="A20" s="44"/>
      <c r="B20" s="11" t="str">
        <f>CONCATENATE("          ", "5027", " - ", "PURCHASES @ COST-SCHOOL SUPPLI")</f>
        <v xml:space="preserve">          5027 - PURCHASES @ COST-SCHOOL SUPPLI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"5028", " - ", "PURCHASES @ COST-ART/TECH")</f>
        <v xml:space="preserve">          5028 - PURCHASES @ COST-ART/TECH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"5031", " - ", "PURCHASES @ COST-FOOD")</f>
        <v xml:space="preserve">          5031 - PURCHASES @ COST-FOOD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"5040", " - ", "PURCHASES @ COST-LOGO CLOTHING")</f>
        <v xml:space="preserve">          5040 - PURCHASES @ COST-LOGO CLOTHING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"5041", " - ", "PURCHASES @ COST-LOGO GIFTS")</f>
        <v xml:space="preserve">          5041 - PURCHASES @ COST-LOGO GIFTS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"5042", " - ", "PURCHASES @ COST-EVERYDAY GIFT")</f>
        <v xml:space="preserve">          5042 - PURCHASES @ COST-EVERYDAY GIFT</v>
      </c>
      <c r="C25" s="11"/>
      <c r="D25" s="2">
        <v>0</v>
      </c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"5043", " - ", "PURCHASES @ COST-CARDS")</f>
        <v xml:space="preserve">          5043 - PURCHASES @ COST-CARDS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"5044", " - ", "PURCHASES @ COST-ACCESSORIES")</f>
        <v xml:space="preserve">          5044 - PURCHASES @ COST-ACCESSORIES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"5045", " - ", "PURCHASES @ COST-SPECIAL ORDER")</f>
        <v xml:space="preserve">          5045 - PURCHASES @ COST-SPECIAL ORDER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"5200", " - ", "PURCHASES OFFSET")</f>
        <v xml:space="preserve">          5200 - PURCHASES OFFSET</v>
      </c>
      <c r="C29" s="11"/>
      <c r="D29" s="2">
        <v>-66711.179999999993</v>
      </c>
      <c r="E29" s="2"/>
      <c r="F29" s="19">
        <f t="shared" si="4"/>
        <v>-0.16862003536079812</v>
      </c>
      <c r="G29" s="2"/>
      <c r="H29" s="2"/>
      <c r="I29" s="2"/>
      <c r="J29" s="19">
        <f t="shared" si="5"/>
        <v>0</v>
      </c>
      <c r="K29" s="2"/>
      <c r="L29" s="2">
        <f t="shared" si="6"/>
        <v>-66711.179999999993</v>
      </c>
      <c r="M29" s="2"/>
      <c r="N29" s="19">
        <f t="shared" si="7"/>
        <v>0</v>
      </c>
      <c r="O29" s="11"/>
      <c r="P29" s="2">
        <v>-148668.13</v>
      </c>
      <c r="Q29" s="2"/>
      <c r="R29" s="19">
        <f t="shared" si="8"/>
        <v>-0.28608128443741732</v>
      </c>
      <c r="S29" s="2"/>
      <c r="T29" s="2"/>
      <c r="U29" s="2"/>
      <c r="V29" s="19">
        <f t="shared" si="9"/>
        <v>0</v>
      </c>
      <c r="W29" s="2"/>
      <c r="X29" s="2">
        <f t="shared" si="10"/>
        <v>-148668.13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"5300", " - ", "COG$ OFFSET")</f>
        <v xml:space="preserve">          5300 - COG$ OFFSET</v>
      </c>
      <c r="C30" s="11"/>
      <c r="D30" s="2">
        <v>163570.48000000001</v>
      </c>
      <c r="E30" s="2"/>
      <c r="F30" s="19">
        <f t="shared" si="4"/>
        <v>0.41344284603544307</v>
      </c>
      <c r="G30" s="2"/>
      <c r="H30" s="2"/>
      <c r="I30" s="2"/>
      <c r="J30" s="19">
        <f t="shared" si="5"/>
        <v>0</v>
      </c>
      <c r="K30" s="2"/>
      <c r="L30" s="2">
        <f t="shared" si="6"/>
        <v>163570.48000000001</v>
      </c>
      <c r="M30" s="2"/>
      <c r="N30" s="19">
        <f t="shared" si="7"/>
        <v>0</v>
      </c>
      <c r="O30" s="11"/>
      <c r="P30" s="2">
        <v>230307.84</v>
      </c>
      <c r="Q30" s="2"/>
      <c r="R30" s="19">
        <f t="shared" si="8"/>
        <v>0.44318014010943158</v>
      </c>
      <c r="S30" s="2"/>
      <c r="T30" s="2"/>
      <c r="U30" s="2"/>
      <c r="V30" s="19">
        <f t="shared" si="9"/>
        <v>0</v>
      </c>
      <c r="W30" s="2"/>
      <c r="X30" s="2">
        <f t="shared" si="10"/>
        <v>230307.84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"5500", " - ", "FREIGHT-IN")</f>
        <v xml:space="preserve">          5500 - FREIGHT-IN</v>
      </c>
      <c r="C31" s="11"/>
      <c r="D31" s="2">
        <v>3009.17</v>
      </c>
      <c r="E31" s="2"/>
      <c r="F31" s="19">
        <f t="shared" si="4"/>
        <v>7.6060167397226817E-3</v>
      </c>
      <c r="G31" s="2"/>
      <c r="H31" s="2"/>
      <c r="I31" s="2"/>
      <c r="J31" s="19">
        <f t="shared" si="5"/>
        <v>0</v>
      </c>
      <c r="K31" s="2"/>
      <c r="L31" s="2">
        <f t="shared" si="6"/>
        <v>3009.17</v>
      </c>
      <c r="M31" s="2"/>
      <c r="N31" s="19">
        <f t="shared" si="7"/>
        <v>0</v>
      </c>
      <c r="O31" s="11"/>
      <c r="P31" s="2">
        <v>4410.49</v>
      </c>
      <c r="Q31" s="2"/>
      <c r="R31" s="19">
        <f t="shared" si="8"/>
        <v>8.4870822293815398E-3</v>
      </c>
      <c r="S31" s="2"/>
      <c r="T31" s="2"/>
      <c r="U31" s="2"/>
      <c r="V31" s="19">
        <f t="shared" si="9"/>
        <v>0</v>
      </c>
      <c r="W31" s="2"/>
      <c r="X31" s="2">
        <f t="shared" si="10"/>
        <v>4410.49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"5527", " - ", "FREIGHT-IN-SCHOOL SUPPLIES")</f>
        <v xml:space="preserve">          5527 - FREIGHT-IN-SCHOOL SUPPLIES</v>
      </c>
      <c r="C32" s="11"/>
      <c r="D32" s="2">
        <v>0</v>
      </c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"5540", " - ", "FREIGHT-IN-LOGO CLOTHING")</f>
        <v xml:space="preserve">          5540 - FREIGHT-IN-LOGO CLOTHING</v>
      </c>
      <c r="C33" s="11"/>
      <c r="D33" s="2">
        <v>0</v>
      </c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"5541", " - ", "FREIGHT-IN-LOGO GIFTS")</f>
        <v xml:space="preserve">          5541 - FREIGHT-IN-LOGO GIFTS</v>
      </c>
      <c r="C34" s="11"/>
      <c r="D34" s="2">
        <v>0</v>
      </c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"5542", " - ", "FREIGHT-IN-EVERYDAY GIFTS")</f>
        <v xml:space="preserve">          5542 - FREIGHT-IN-EVERYDAY GIFTS</v>
      </c>
      <c r="C35" s="11"/>
      <c r="D35" s="2">
        <v>0</v>
      </c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"5544", " - ", "FREIGHT-IN-ACCESSORIES")</f>
        <v xml:space="preserve">          5544 - FREIGHT-IN-ACCESSORIES</v>
      </c>
      <c r="C36" s="11"/>
      <c r="D36" s="2">
        <v>0</v>
      </c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"5545", " - ", "FREIGHT-IN-SPECIAL ORDERS")</f>
        <v xml:space="preserve">          5545 - FREIGHT-IN-SPECIAL ORDERS</v>
      </c>
      <c r="C37" s="11"/>
      <c r="D37" s="2">
        <v>0</v>
      </c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x14ac:dyDescent="0.3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3">
      <c r="A39" s="10"/>
      <c r="B39" s="26" t="s">
        <v>108</v>
      </c>
      <c r="C39" s="26"/>
      <c r="D39" s="21">
        <f>D12-D18</f>
        <v>232059.72999999998</v>
      </c>
      <c r="E39" s="13"/>
      <c r="F39" s="20">
        <f>IF(D$12=0,0,D39/D$12)</f>
        <v>0.58655715396455688</v>
      </c>
      <c r="G39" s="13"/>
      <c r="H39" s="21">
        <f>H12-H18</f>
        <v>198243</v>
      </c>
      <c r="I39" s="13"/>
      <c r="J39" s="20">
        <f>IF(H$12=0,0,H39/H$12)</f>
        <v>0.47180381787848569</v>
      </c>
      <c r="K39" s="16"/>
      <c r="L39" s="21">
        <f>+D39-H39</f>
        <v>33816.729999999981</v>
      </c>
      <c r="M39" s="16"/>
      <c r="N39" s="20">
        <f>IF(H39=0,0,L39/H39)</f>
        <v>0.17058221475663696</v>
      </c>
      <c r="O39" s="25"/>
      <c r="P39" s="21">
        <f>P12-P18</f>
        <v>289363.09999999998</v>
      </c>
      <c r="Q39" s="13"/>
      <c r="R39" s="20">
        <f>IF(P$12=0,0,P39/P$12)</f>
        <v>0.55681985989056848</v>
      </c>
      <c r="S39" s="13"/>
      <c r="T39" s="21">
        <f>T12-T18</f>
        <v>280175</v>
      </c>
      <c r="U39" s="13"/>
      <c r="V39" s="20">
        <f>IF(T$12=0,0,T39/T$12)</f>
        <v>0.44566235757653844</v>
      </c>
      <c r="W39" s="16"/>
      <c r="X39" s="21">
        <f>+P39-T39</f>
        <v>9188.0999999999767</v>
      </c>
      <c r="Y39" s="16"/>
      <c r="Z39" s="20">
        <f>IF(T39=0,0,X39/T39)</f>
        <v>3.2794146515570541E-2</v>
      </c>
    </row>
    <row r="40" spans="1:26" x14ac:dyDescent="0.3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6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3">
      <c r="A41" s="10"/>
      <c r="B41" s="25" t="s">
        <v>295</v>
      </c>
      <c r="C41" s="10"/>
      <c r="D41" s="22">
        <f>SUM(OSRRefD22x_0)</f>
        <v>82435.01999999999</v>
      </c>
      <c r="E41" s="22"/>
      <c r="F41" s="31">
        <f t="shared" ref="F41:F51" si="12">IF(D$12=0,0,D41/D$12)</f>
        <v>0.20836381529105166</v>
      </c>
      <c r="G41" s="22"/>
      <c r="H41" s="22">
        <f>SUM(OSRRefH22x_0)</f>
        <v>74442.641701923072</v>
      </c>
      <c r="I41" s="22"/>
      <c r="J41" s="31">
        <f t="shared" ref="J41:J51" si="13">IF(H$12=0,0,H41/H$12)</f>
        <v>0.17716803401848982</v>
      </c>
      <c r="K41" s="4"/>
      <c r="L41" s="22">
        <f t="shared" ref="L41:L51" si="14">+D41-H41</f>
        <v>7992.3782980769174</v>
      </c>
      <c r="M41" s="4"/>
      <c r="N41" s="31">
        <f t="shared" ref="N41:N51" si="15">IF(H41=0,0,L41/H41)</f>
        <v>0.10736290539069425</v>
      </c>
      <c r="O41" s="10"/>
      <c r="P41" s="22">
        <f>SUM(OSRRefP22x_0)</f>
        <v>161726.03000000006</v>
      </c>
      <c r="Q41" s="22"/>
      <c r="R41" s="31">
        <f t="shared" ref="R41:R51" si="16">IF(P$12=0,0,P41/P$12)</f>
        <v>0.31120853130636877</v>
      </c>
      <c r="S41" s="22"/>
      <c r="T41" s="22">
        <f>SUM(OSRRefT22x_0)</f>
        <v>171779.31882932689</v>
      </c>
      <c r="U41" s="22"/>
      <c r="V41" s="31">
        <f t="shared" ref="V41:V51" si="17">IF(T$12=0,0,T41/T$12)</f>
        <v>0.27324199593957238</v>
      </c>
      <c r="W41" s="4"/>
      <c r="X41" s="22">
        <f t="shared" ref="X41:X51" si="18">+P41-T41</f>
        <v>-10053.288829326833</v>
      </c>
      <c r="Y41" s="4"/>
      <c r="Z41" s="31">
        <f t="shared" ref="Z41:Z51" si="19">IF(T41=0,0,X41/T41)</f>
        <v>-5.8524442277684087E-2</v>
      </c>
    </row>
    <row r="42" spans="1:26" s="28" customFormat="1" outlineLevel="1" collapsed="1" x14ac:dyDescent="0.3">
      <c r="A42" s="29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SUM(OSRRefD22_0x_0)</f>
        <v>13757.34</v>
      </c>
      <c r="E42" s="1"/>
      <c r="F42" s="5">
        <f t="shared" si="12"/>
        <v>3.4773229273871678E-2</v>
      </c>
      <c r="G42" s="1"/>
      <c r="H42" s="1">
        <f>SUM(OSRRefH22_0x_0)</f>
        <v>15340.891701923081</v>
      </c>
      <c r="I42" s="1"/>
      <c r="J42" s="5">
        <f t="shared" si="13"/>
        <v>3.6510198466668128E-2</v>
      </c>
      <c r="K42" s="1"/>
      <c r="L42" s="1">
        <f t="shared" si="14"/>
        <v>-1583.5517019230811</v>
      </c>
      <c r="M42" s="1"/>
      <c r="N42" s="5">
        <f t="shared" si="15"/>
        <v>-0.10322422794527468</v>
      </c>
      <c r="O42" s="14"/>
      <c r="P42" s="1">
        <f>SUM(OSRRefP22_0x_0)</f>
        <v>26135.09</v>
      </c>
      <c r="Q42" s="1"/>
      <c r="R42" s="5">
        <f t="shared" si="16"/>
        <v>5.0291613381344746E-2</v>
      </c>
      <c r="S42" s="1"/>
      <c r="T42" s="1">
        <f>SUM(OSRRefT22_0x_0)</f>
        <v>33211.381329326905</v>
      </c>
      <c r="U42" s="1"/>
      <c r="V42" s="5">
        <f t="shared" si="17"/>
        <v>5.2827920055683986E-2</v>
      </c>
      <c r="W42" s="1"/>
      <c r="X42" s="1">
        <f t="shared" si="18"/>
        <v>-7076.2913293269048</v>
      </c>
      <c r="Y42" s="1"/>
      <c r="Z42" s="5">
        <f t="shared" si="19"/>
        <v>-0.21306826292943956</v>
      </c>
    </row>
    <row r="43" spans="1:26" s="24" customFormat="1" hidden="1" outlineLevel="2" x14ac:dyDescent="0.3">
      <c r="A43" s="27"/>
      <c r="B43" s="11" t="str">
        <f>CONCATENATE("          ", "6111", " - ", "F.I.C.A.")</f>
        <v xml:space="preserve">          6111 - F.I.C.A.</v>
      </c>
      <c r="C43" s="11"/>
      <c r="D43" s="6">
        <v>3791.4</v>
      </c>
      <c r="E43" s="2"/>
      <c r="F43" s="7">
        <f t="shared" si="12"/>
        <v>9.5831913341501394E-3</v>
      </c>
      <c r="G43" s="2"/>
      <c r="H43" s="6">
        <v>2145.709875</v>
      </c>
      <c r="I43" s="2"/>
      <c r="J43" s="7">
        <f t="shared" si="13"/>
        <v>5.1066323203571799E-3</v>
      </c>
      <c r="K43" s="2"/>
      <c r="L43" s="6">
        <f t="shared" si="14"/>
        <v>1645.6901250000001</v>
      </c>
      <c r="M43" s="2"/>
      <c r="N43" s="7">
        <f t="shared" si="15"/>
        <v>0.76696768010167271</v>
      </c>
      <c r="O43" s="11"/>
      <c r="P43" s="6">
        <v>6645.83</v>
      </c>
      <c r="Q43" s="2"/>
      <c r="R43" s="7">
        <f t="shared" si="16"/>
        <v>1.2788534991007966E-2</v>
      </c>
      <c r="S43" s="2"/>
      <c r="T43" s="6">
        <v>4827.8472187500001</v>
      </c>
      <c r="U43" s="2"/>
      <c r="V43" s="7">
        <f t="shared" si="17"/>
        <v>7.6794495352099906E-3</v>
      </c>
      <c r="W43" s="2"/>
      <c r="X43" s="6">
        <f t="shared" si="18"/>
        <v>1817.9827812499998</v>
      </c>
      <c r="Y43" s="2"/>
      <c r="Z43" s="7">
        <f t="shared" si="19"/>
        <v>0.37656178807594953</v>
      </c>
    </row>
    <row r="44" spans="1:26" s="24" customFormat="1" hidden="1" outlineLevel="2" x14ac:dyDescent="0.3">
      <c r="A44" s="27"/>
      <c r="B44" s="11" t="str">
        <f>CONCATENATE("          ", "6112", " - ", "COMPENSATION INSURANCE")</f>
        <v xml:space="preserve">          6112 - COMPENSATION INSURANCE</v>
      </c>
      <c r="C44" s="11"/>
      <c r="D44" s="6">
        <v>881.59</v>
      </c>
      <c r="E44" s="2"/>
      <c r="F44" s="7">
        <f t="shared" si="12"/>
        <v>2.2283182065393845E-3</v>
      </c>
      <c r="G44" s="2"/>
      <c r="H44" s="6">
        <v>867.94500000000005</v>
      </c>
      <c r="I44" s="2"/>
      <c r="J44" s="7">
        <f t="shared" si="13"/>
        <v>2.065645519430912E-3</v>
      </c>
      <c r="K44" s="2"/>
      <c r="L44" s="6">
        <f t="shared" si="14"/>
        <v>13.644999999999982</v>
      </c>
      <c r="M44" s="2"/>
      <c r="N44" s="7">
        <f t="shared" si="15"/>
        <v>1.5721042231938639E-2</v>
      </c>
      <c r="O44" s="11"/>
      <c r="P44" s="6">
        <v>1578.83</v>
      </c>
      <c r="Q44" s="2"/>
      <c r="R44" s="7">
        <f t="shared" si="16"/>
        <v>3.0381340930859058E-3</v>
      </c>
      <c r="S44" s="2"/>
      <c r="T44" s="6">
        <v>1952.87625</v>
      </c>
      <c r="U44" s="2"/>
      <c r="V44" s="7">
        <f t="shared" si="17"/>
        <v>3.1063565044355474E-3</v>
      </c>
      <c r="W44" s="2"/>
      <c r="X44" s="6">
        <f t="shared" si="18"/>
        <v>-374.0462500000001</v>
      </c>
      <c r="Y44" s="2"/>
      <c r="Z44" s="7">
        <f t="shared" si="19"/>
        <v>-0.19153607403438908</v>
      </c>
    </row>
    <row r="45" spans="1:26" s="24" customFormat="1" hidden="1" outlineLevel="2" x14ac:dyDescent="0.3">
      <c r="A45" s="27"/>
      <c r="B45" s="11" t="str">
        <f>CONCATENATE("          ", "6113", " - ", "GROUP INSURANCE")</f>
        <v xml:space="preserve">          6113 - GROUP INSURANCE</v>
      </c>
      <c r="C45" s="11"/>
      <c r="D45" s="6">
        <v>4284.43</v>
      </c>
      <c r="E45" s="2"/>
      <c r="F45" s="7">
        <f t="shared" si="12"/>
        <v>1.0829380294290468E-2</v>
      </c>
      <c r="G45" s="2"/>
      <c r="H45" s="6">
        <v>6784.4230769230799</v>
      </c>
      <c r="I45" s="2"/>
      <c r="J45" s="7">
        <f t="shared" si="13"/>
        <v>1.6146429935963501E-2</v>
      </c>
      <c r="K45" s="2"/>
      <c r="L45" s="6">
        <f t="shared" si="14"/>
        <v>-2499.9930769230796</v>
      </c>
      <c r="M45" s="2"/>
      <c r="N45" s="7">
        <f t="shared" si="15"/>
        <v>-0.36849014994756113</v>
      </c>
      <c r="O45" s="11"/>
      <c r="P45" s="6">
        <v>8568.86</v>
      </c>
      <c r="Q45" s="2"/>
      <c r="R45" s="7">
        <f t="shared" si="16"/>
        <v>1.6489011296263751E-2</v>
      </c>
      <c r="S45" s="2"/>
      <c r="T45" s="6">
        <v>14178.0769230769</v>
      </c>
      <c r="U45" s="2"/>
      <c r="V45" s="7">
        <f t="shared" si="17"/>
        <v>2.2552458954010764E-2</v>
      </c>
      <c r="W45" s="2"/>
      <c r="X45" s="6">
        <f t="shared" si="18"/>
        <v>-5609.2169230768995</v>
      </c>
      <c r="Y45" s="2"/>
      <c r="Z45" s="7">
        <f t="shared" si="19"/>
        <v>-0.3956260749260766</v>
      </c>
    </row>
    <row r="46" spans="1:26" s="24" customFormat="1" hidden="1" outlineLevel="2" x14ac:dyDescent="0.3">
      <c r="A46" s="27"/>
      <c r="B46" s="11" t="str">
        <f>CONCATENATE("          ", "6114", " - ", "STATE UNEMPLOYMENT INSURANCE")</f>
        <v xml:space="preserve">          6114 - STATE UNEMPLOYMENT INSURANCE</v>
      </c>
      <c r="C46" s="11"/>
      <c r="D46" s="6">
        <v>154.87</v>
      </c>
      <c r="E46" s="2"/>
      <c r="F46" s="7">
        <f t="shared" si="12"/>
        <v>3.9145140104442479E-4</v>
      </c>
      <c r="G46" s="2"/>
      <c r="H46" s="6">
        <v>116.83875</v>
      </c>
      <c r="I46" s="2"/>
      <c r="J46" s="7">
        <f t="shared" si="13"/>
        <v>2.7806766607723813E-4</v>
      </c>
      <c r="K46" s="2"/>
      <c r="L46" s="6">
        <f t="shared" si="14"/>
        <v>38.03125</v>
      </c>
      <c r="M46" s="2"/>
      <c r="N46" s="7">
        <f t="shared" si="15"/>
        <v>0.32550202736677686</v>
      </c>
      <c r="O46" s="11"/>
      <c r="P46" s="6">
        <v>277.36</v>
      </c>
      <c r="Q46" s="2"/>
      <c r="R46" s="7">
        <f t="shared" si="16"/>
        <v>5.337223589989466E-4</v>
      </c>
      <c r="S46" s="2"/>
      <c r="T46" s="6">
        <v>262.88718749999998</v>
      </c>
      <c r="U46" s="2"/>
      <c r="V46" s="7">
        <f t="shared" si="17"/>
        <v>4.1816337559709291E-4</v>
      </c>
      <c r="W46" s="2"/>
      <c r="X46" s="6">
        <f t="shared" si="18"/>
        <v>14.472812500000032</v>
      </c>
      <c r="Y46" s="2"/>
      <c r="Z46" s="7">
        <f t="shared" si="19"/>
        <v>5.5053320162284564E-2</v>
      </c>
    </row>
    <row r="47" spans="1:26" s="24" customFormat="1" hidden="1" outlineLevel="2" x14ac:dyDescent="0.3">
      <c r="A47" s="27"/>
      <c r="B47" s="11" t="str">
        <f>CONCATENATE("          ", "6115", " - ", "P.E.R.S.")</f>
        <v xml:space="preserve">          6115 - P.E.R.S.</v>
      </c>
      <c r="C47" s="11"/>
      <c r="D47" s="6">
        <v>1490.59</v>
      </c>
      <c r="E47" s="2"/>
      <c r="F47" s="7">
        <f t="shared" si="12"/>
        <v>3.7676344281191263E-3</v>
      </c>
      <c r="G47" s="2"/>
      <c r="H47" s="6">
        <v>1207.2249999999999</v>
      </c>
      <c r="I47" s="2"/>
      <c r="J47" s="7">
        <f t="shared" si="13"/>
        <v>2.8731070657645155E-3</v>
      </c>
      <c r="K47" s="2"/>
      <c r="L47" s="6">
        <f t="shared" si="14"/>
        <v>283.36500000000001</v>
      </c>
      <c r="M47" s="2"/>
      <c r="N47" s="7">
        <f t="shared" si="15"/>
        <v>0.23472426432520865</v>
      </c>
      <c r="O47" s="11"/>
      <c r="P47" s="6">
        <v>2981.18</v>
      </c>
      <c r="Q47" s="2"/>
      <c r="R47" s="7">
        <f t="shared" si="16"/>
        <v>5.7366686696008057E-3</v>
      </c>
      <c r="S47" s="2"/>
      <c r="T47" s="6">
        <v>2716.2562499999999</v>
      </c>
      <c r="U47" s="2"/>
      <c r="V47" s="7">
        <f t="shared" si="17"/>
        <v>4.3206323339234666E-3</v>
      </c>
      <c r="W47" s="2"/>
      <c r="X47" s="6">
        <f t="shared" si="18"/>
        <v>264.92374999999993</v>
      </c>
      <c r="Y47" s="2"/>
      <c r="Z47" s="7">
        <f t="shared" si="19"/>
        <v>9.7532679400185437E-2</v>
      </c>
    </row>
    <row r="48" spans="1:26" s="24" customFormat="1" hidden="1" outlineLevel="2" x14ac:dyDescent="0.3">
      <c r="A48" s="27"/>
      <c r="B48" s="11" t="str">
        <f>CONCATENATE("          ", "6116", " - ", "EDUCATIONAL BENEFITS")</f>
        <v xml:space="preserve">          6116 - EDUCATIONAL BENEFITS</v>
      </c>
      <c r="C48" s="11"/>
      <c r="D48" s="6"/>
      <c r="E48" s="2"/>
      <c r="F48" s="7">
        <f t="shared" si="12"/>
        <v>0</v>
      </c>
      <c r="G48" s="2"/>
      <c r="H48" s="6">
        <v>0</v>
      </c>
      <c r="I48" s="2"/>
      <c r="J48" s="7">
        <f t="shared" si="13"/>
        <v>0</v>
      </c>
      <c r="K48" s="2"/>
      <c r="L48" s="6">
        <f t="shared" si="14"/>
        <v>0</v>
      </c>
      <c r="M48" s="2"/>
      <c r="N48" s="7">
        <f t="shared" si="15"/>
        <v>0</v>
      </c>
      <c r="O48" s="11"/>
      <c r="P48" s="6"/>
      <c r="Q48" s="2"/>
      <c r="R48" s="7">
        <f t="shared" si="16"/>
        <v>0</v>
      </c>
      <c r="S48" s="2"/>
      <c r="T48" s="6">
        <v>0</v>
      </c>
      <c r="U48" s="2"/>
      <c r="V48" s="7">
        <f t="shared" si="17"/>
        <v>0</v>
      </c>
      <c r="W48" s="2"/>
      <c r="X48" s="6">
        <f t="shared" si="18"/>
        <v>0</v>
      </c>
      <c r="Y48" s="2"/>
      <c r="Z48" s="7">
        <f t="shared" si="19"/>
        <v>0</v>
      </c>
    </row>
    <row r="49" spans="1:26" s="24" customFormat="1" hidden="1" outlineLevel="2" x14ac:dyDescent="0.3">
      <c r="A49" s="27"/>
      <c r="B49" s="11" t="str">
        <f>CONCATENATE("          ", "6118", " - ", "VACATION")</f>
        <v xml:space="preserve">          6118 - VACATION</v>
      </c>
      <c r="C49" s="11"/>
      <c r="D49" s="6">
        <v>1573.42</v>
      </c>
      <c r="E49" s="2"/>
      <c r="F49" s="7">
        <f t="shared" si="12"/>
        <v>3.9769965999310319E-3</v>
      </c>
      <c r="G49" s="2"/>
      <c r="H49" s="6">
        <v>1113.875</v>
      </c>
      <c r="I49" s="2"/>
      <c r="J49" s="7">
        <f t="shared" si="13"/>
        <v>2.6509409040389735E-3</v>
      </c>
      <c r="K49" s="2"/>
      <c r="L49" s="6">
        <f t="shared" si="14"/>
        <v>459.54500000000007</v>
      </c>
      <c r="M49" s="2"/>
      <c r="N49" s="7">
        <f t="shared" si="15"/>
        <v>0.41256424643698808</v>
      </c>
      <c r="O49" s="11"/>
      <c r="P49" s="6">
        <v>3146.84</v>
      </c>
      <c r="Q49" s="2"/>
      <c r="R49" s="7">
        <f t="shared" si="16"/>
        <v>6.0554473182587434E-3</v>
      </c>
      <c r="S49" s="2"/>
      <c r="T49" s="6">
        <v>2506.21875</v>
      </c>
      <c r="U49" s="2"/>
      <c r="V49" s="7">
        <f t="shared" si="17"/>
        <v>3.9865346898457221E-3</v>
      </c>
      <c r="W49" s="2"/>
      <c r="X49" s="6">
        <f t="shared" si="18"/>
        <v>640.62125000000015</v>
      </c>
      <c r="Y49" s="2"/>
      <c r="Z49" s="7">
        <f t="shared" si="19"/>
        <v>0.25561266349954492</v>
      </c>
    </row>
    <row r="50" spans="1:26" s="24" customFormat="1" hidden="1" outlineLevel="2" x14ac:dyDescent="0.3">
      <c r="A50" s="27"/>
      <c r="B50" s="11" t="str">
        <f>CONCATENATE("          ", "6119", " - ", "SICK LEAVE")</f>
        <v xml:space="preserve">          6119 - SICK LEAVE</v>
      </c>
      <c r="C50" s="11"/>
      <c r="D50" s="6">
        <v>1066.4000000000001</v>
      </c>
      <c r="E50" s="2"/>
      <c r="F50" s="7">
        <f t="shared" si="12"/>
        <v>2.6954463361127047E-3</v>
      </c>
      <c r="G50" s="2"/>
      <c r="H50" s="6">
        <v>2229.875</v>
      </c>
      <c r="I50" s="2"/>
      <c r="J50" s="7">
        <f t="shared" si="13"/>
        <v>5.3069391524128888E-3</v>
      </c>
      <c r="K50" s="2"/>
      <c r="L50" s="6">
        <f t="shared" si="14"/>
        <v>-1163.4749999999999</v>
      </c>
      <c r="M50" s="2"/>
      <c r="N50" s="7">
        <f t="shared" si="15"/>
        <v>-0.52176691518582874</v>
      </c>
      <c r="O50" s="11"/>
      <c r="P50" s="6">
        <v>2132.8000000000002</v>
      </c>
      <c r="Q50" s="2"/>
      <c r="R50" s="7">
        <f t="shared" si="16"/>
        <v>4.1041355901101579E-3</v>
      </c>
      <c r="S50" s="2"/>
      <c r="T50" s="6">
        <v>5017.21875</v>
      </c>
      <c r="U50" s="2"/>
      <c r="V50" s="7">
        <f t="shared" si="17"/>
        <v>7.9806747090290474E-3</v>
      </c>
      <c r="W50" s="2"/>
      <c r="X50" s="6">
        <f t="shared" si="18"/>
        <v>-2884.4187499999998</v>
      </c>
      <c r="Y50" s="2"/>
      <c r="Z50" s="7">
        <f t="shared" si="19"/>
        <v>-0.57490392460962558</v>
      </c>
    </row>
    <row r="51" spans="1:26" s="24" customFormat="1" hidden="1" outlineLevel="2" x14ac:dyDescent="0.3">
      <c r="A51" s="27"/>
      <c r="B51" s="11" t="str">
        <f>CONCATENATE("          ", "6156", " - ", "EMPLOYEE MEALS")</f>
        <v xml:space="preserve">          6156 - EMPLOYEE MEALS</v>
      </c>
      <c r="C51" s="11"/>
      <c r="D51" s="6">
        <v>514.64</v>
      </c>
      <c r="E51" s="2"/>
      <c r="F51" s="7">
        <f t="shared" si="12"/>
        <v>1.3008106736843983E-3</v>
      </c>
      <c r="G51" s="2"/>
      <c r="H51" s="6">
        <v>875</v>
      </c>
      <c r="I51" s="2"/>
      <c r="J51" s="7">
        <f t="shared" si="13"/>
        <v>2.082435902622917E-3</v>
      </c>
      <c r="K51" s="2"/>
      <c r="L51" s="6">
        <f t="shared" si="14"/>
        <v>-360.36</v>
      </c>
      <c r="M51" s="2"/>
      <c r="N51" s="7">
        <f t="shared" si="15"/>
        <v>-0.41184000000000004</v>
      </c>
      <c r="O51" s="11"/>
      <c r="P51" s="6">
        <v>803.39</v>
      </c>
      <c r="Q51" s="2"/>
      <c r="R51" s="7">
        <f t="shared" si="16"/>
        <v>1.545959064018473E-3</v>
      </c>
      <c r="S51" s="2"/>
      <c r="T51" s="6">
        <v>1750</v>
      </c>
      <c r="U51" s="2"/>
      <c r="V51" s="7">
        <f t="shared" si="17"/>
        <v>2.783649953632345E-3</v>
      </c>
      <c r="W51" s="2"/>
      <c r="X51" s="6">
        <f t="shared" si="18"/>
        <v>-946.61</v>
      </c>
      <c r="Y51" s="2"/>
      <c r="Z51" s="7">
        <f t="shared" si="19"/>
        <v>-0.54091999999999996</v>
      </c>
    </row>
    <row r="52" spans="1:26" s="28" customFormat="1" outlineLevel="1" collapsed="1" x14ac:dyDescent="0.3">
      <c r="A52" s="29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SUM(OSRRefD22_1x_0)</f>
        <v>61015.09</v>
      </c>
      <c r="E52" s="1"/>
      <c r="F52" s="5">
        <f t="shared" ref="F52:F62" si="20">IF(D$12=0,0,D52/D$12)</f>
        <v>0.1542225251201115</v>
      </c>
      <c r="G52" s="1"/>
      <c r="H52" s="1">
        <f>SUM(OSRRefH22_1x_0)</f>
        <v>53121.75</v>
      </c>
      <c r="I52" s="1"/>
      <c r="J52" s="5">
        <f t="shared" ref="J52:J62" si="21">IF(H$12=0,0,H52/H$12)</f>
        <v>0.12642587361161023</v>
      </c>
      <c r="K52" s="1"/>
      <c r="L52" s="1">
        <f t="shared" ref="L52:L62" si="22">+D52-H52</f>
        <v>7893.3399999999965</v>
      </c>
      <c r="M52" s="1"/>
      <c r="N52" s="5">
        <f t="shared" ref="N52:N62" si="23">IF(H52=0,0,L52/H52)</f>
        <v>0.14858960783483219</v>
      </c>
      <c r="O52" s="14"/>
      <c r="P52" s="1">
        <f>SUM(OSRRefP22_1x_0)</f>
        <v>113691.73</v>
      </c>
      <c r="Q52" s="1"/>
      <c r="R52" s="5">
        <f t="shared" ref="R52:R62" si="24">IF(P$12=0,0,P52/P$12)</f>
        <v>0.21877638568745061</v>
      </c>
      <c r="S52" s="1"/>
      <c r="T52" s="1">
        <f>SUM(OSRRefT22_1x_0)</f>
        <v>119523.9375</v>
      </c>
      <c r="U52" s="1"/>
      <c r="V52" s="5">
        <f t="shared" ref="V52:V62" si="25">IF(T$12=0,0,T52/T$12)</f>
        <v>0.19012160175990303</v>
      </c>
      <c r="W52" s="1"/>
      <c r="X52" s="1">
        <f t="shared" ref="X52:X62" si="26">+P52-T52</f>
        <v>-5832.2075000000041</v>
      </c>
      <c r="Y52" s="1"/>
      <c r="Z52" s="5">
        <f t="shared" ref="Z52:Z62" si="27">IF(T52=0,0,X52/T52)</f>
        <v>-4.8795309307811285E-2</v>
      </c>
    </row>
    <row r="53" spans="1:26" s="24" customFormat="1" hidden="1" outlineLevel="2" x14ac:dyDescent="0.3">
      <c r="A53" s="27"/>
      <c r="B53" s="11" t="str">
        <f>CONCATENATE("          ", "6001", " - ", "ADMINISTRATIVE SALARIES")</f>
        <v xml:space="preserve">          6001 - ADMINISTRATIVE SALARIES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3">
      <c r="A54" s="27"/>
      <c r="B54" s="11" t="str">
        <f>CONCATENATE("          ", "6002", " - ", "STAFF SALARIES")</f>
        <v xml:space="preserve">          6002 - STAFF SALARIES</v>
      </c>
      <c r="C54" s="11"/>
      <c r="D54" s="6">
        <v>15956.48</v>
      </c>
      <c r="E54" s="2"/>
      <c r="F54" s="7">
        <f t="shared" si="20"/>
        <v>4.0331803782122699E-2</v>
      </c>
      <c r="G54" s="2"/>
      <c r="H54" s="6">
        <v>12633.75</v>
      </c>
      <c r="I54" s="2"/>
      <c r="J54" s="7">
        <f t="shared" si="21"/>
        <v>3.0067399525442608E-2</v>
      </c>
      <c r="K54" s="2"/>
      <c r="L54" s="6">
        <f t="shared" si="22"/>
        <v>3322.7299999999996</v>
      </c>
      <c r="M54" s="2"/>
      <c r="N54" s="7">
        <f t="shared" si="23"/>
        <v>0.26300425447709502</v>
      </c>
      <c r="O54" s="11"/>
      <c r="P54" s="6">
        <v>31676.7</v>
      </c>
      <c r="Q54" s="2"/>
      <c r="R54" s="7">
        <f t="shared" si="24"/>
        <v>6.0955303754333473E-2</v>
      </c>
      <c r="S54" s="2"/>
      <c r="T54" s="6">
        <v>28425.9375</v>
      </c>
      <c r="U54" s="2"/>
      <c r="V54" s="7">
        <f t="shared" si="25"/>
        <v>4.5215919773617677E-2</v>
      </c>
      <c r="W54" s="2"/>
      <c r="X54" s="6">
        <f t="shared" si="26"/>
        <v>3250.7625000000007</v>
      </c>
      <c r="Y54" s="2"/>
      <c r="Z54" s="7">
        <f t="shared" si="27"/>
        <v>0.11435902509811684</v>
      </c>
    </row>
    <row r="55" spans="1:26" s="24" customFormat="1" hidden="1" outlineLevel="2" x14ac:dyDescent="0.3">
      <c r="A55" s="27"/>
      <c r="B55" s="11" t="str">
        <f>CONCATENATE("          ", "6003", " - ", "STAFF HOURLY-9 MONTH")</f>
        <v xml:space="preserve">          6003 - STAFF HOURLY-9 MONTH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4" customFormat="1" hidden="1" outlineLevel="2" x14ac:dyDescent="0.3">
      <c r="A56" s="27"/>
      <c r="B56" s="11" t="str">
        <f>CONCATENATE("          ", "6004", " - ", "STAFF HOURLY")</f>
        <v xml:space="preserve">          6004 - STAFF HOURLY</v>
      </c>
      <c r="C56" s="11"/>
      <c r="D56" s="6">
        <v>8099.25</v>
      </c>
      <c r="E56" s="2"/>
      <c r="F56" s="7">
        <f t="shared" si="20"/>
        <v>2.0471768321231081E-2</v>
      </c>
      <c r="G56" s="2"/>
      <c r="H56" s="6">
        <v>12888</v>
      </c>
      <c r="I56" s="2"/>
      <c r="J56" s="7">
        <f t="shared" si="21"/>
        <v>3.0672495900576181E-2</v>
      </c>
      <c r="K56" s="2"/>
      <c r="L56" s="6">
        <f t="shared" si="22"/>
        <v>-4788.75</v>
      </c>
      <c r="M56" s="2"/>
      <c r="N56" s="7">
        <f t="shared" si="23"/>
        <v>-0.37156657355679701</v>
      </c>
      <c r="O56" s="11"/>
      <c r="P56" s="6">
        <v>16213.73</v>
      </c>
      <c r="Q56" s="2"/>
      <c r="R56" s="7">
        <f t="shared" si="24"/>
        <v>3.1199993595947467E-2</v>
      </c>
      <c r="S56" s="2"/>
      <c r="T56" s="6">
        <v>28998</v>
      </c>
      <c r="U56" s="2"/>
      <c r="V56" s="7">
        <f t="shared" si="25"/>
        <v>4.6125875060246138E-2</v>
      </c>
      <c r="W56" s="2"/>
      <c r="X56" s="6">
        <f t="shared" si="26"/>
        <v>-12784.27</v>
      </c>
      <c r="Y56" s="2"/>
      <c r="Z56" s="7">
        <f t="shared" si="27"/>
        <v>-0.44086730119318573</v>
      </c>
    </row>
    <row r="57" spans="1:26" s="24" customFormat="1" hidden="1" outlineLevel="2" x14ac:dyDescent="0.3">
      <c r="A57" s="27"/>
      <c r="B57" s="11" t="str">
        <f>CONCATENATE("          ", "6005", " - ", "TEMPORARY WAGES-HOURLY")</f>
        <v xml:space="preserve">          6005 - TEMPORARY WAGES-HOURLY</v>
      </c>
      <c r="C57" s="11"/>
      <c r="D57" s="6">
        <v>2931.82</v>
      </c>
      <c r="E57" s="2"/>
      <c r="F57" s="7">
        <f t="shared" si="20"/>
        <v>7.4105058862921512E-3</v>
      </c>
      <c r="G57" s="2"/>
      <c r="H57" s="6">
        <v>0</v>
      </c>
      <c r="I57" s="2"/>
      <c r="J57" s="7">
        <f t="shared" si="21"/>
        <v>0</v>
      </c>
      <c r="K57" s="2"/>
      <c r="L57" s="6">
        <f t="shared" si="22"/>
        <v>2931.82</v>
      </c>
      <c r="M57" s="2"/>
      <c r="N57" s="7">
        <f t="shared" si="23"/>
        <v>0</v>
      </c>
      <c r="O57" s="11"/>
      <c r="P57" s="6">
        <v>4946.38</v>
      </c>
      <c r="Q57" s="2"/>
      <c r="R57" s="7">
        <f t="shared" si="24"/>
        <v>9.5182924794678745E-3</v>
      </c>
      <c r="S57" s="2"/>
      <c r="T57" s="6">
        <v>0</v>
      </c>
      <c r="U57" s="2"/>
      <c r="V57" s="7">
        <f t="shared" si="25"/>
        <v>0</v>
      </c>
      <c r="W57" s="2"/>
      <c r="X57" s="6">
        <f t="shared" si="26"/>
        <v>4946.38</v>
      </c>
      <c r="Y57" s="2"/>
      <c r="Z57" s="7">
        <f t="shared" si="27"/>
        <v>0</v>
      </c>
    </row>
    <row r="58" spans="1:26" s="24" customFormat="1" hidden="1" outlineLevel="2" x14ac:dyDescent="0.3">
      <c r="A58" s="27"/>
      <c r="B58" s="11" t="str">
        <f>CONCATENATE("          ", "6006", " - ", "TEMPORARY PART TIME")</f>
        <v xml:space="preserve">          6006 - TEMPORARY PART TIME</v>
      </c>
      <c r="C58" s="11"/>
      <c r="D58" s="6"/>
      <c r="E58" s="2"/>
      <c r="F58" s="7">
        <f t="shared" si="20"/>
        <v>0</v>
      </c>
      <c r="G58" s="2"/>
      <c r="H58" s="6">
        <v>0</v>
      </c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/>
      <c r="Q58" s="2"/>
      <c r="R58" s="7">
        <f t="shared" si="24"/>
        <v>0</v>
      </c>
      <c r="S58" s="2"/>
      <c r="T58" s="6">
        <v>0</v>
      </c>
      <c r="U58" s="2"/>
      <c r="V58" s="7">
        <f t="shared" si="25"/>
        <v>0</v>
      </c>
      <c r="W58" s="2"/>
      <c r="X58" s="6">
        <f t="shared" si="26"/>
        <v>0</v>
      </c>
      <c r="Y58" s="2"/>
      <c r="Z58" s="7">
        <f t="shared" si="27"/>
        <v>0</v>
      </c>
    </row>
    <row r="59" spans="1:26" s="24" customFormat="1" hidden="1" outlineLevel="2" x14ac:dyDescent="0.3">
      <c r="A59" s="27"/>
      <c r="B59" s="11" t="str">
        <f>CONCATENATE("          ", "6007", " - ", "STUDENT HOURLY")</f>
        <v xml:space="preserve">          6007 - STUDENT HOURLY</v>
      </c>
      <c r="C59" s="11"/>
      <c r="D59" s="6">
        <v>24856.84</v>
      </c>
      <c r="E59" s="2"/>
      <c r="F59" s="7">
        <f t="shared" si="20"/>
        <v>6.2828468028263057E-2</v>
      </c>
      <c r="G59" s="2"/>
      <c r="H59" s="6">
        <v>0</v>
      </c>
      <c r="I59" s="2"/>
      <c r="J59" s="7">
        <f t="shared" si="21"/>
        <v>0</v>
      </c>
      <c r="K59" s="2"/>
      <c r="L59" s="6">
        <f t="shared" si="22"/>
        <v>24856.84</v>
      </c>
      <c r="M59" s="2"/>
      <c r="N59" s="7">
        <f t="shared" si="23"/>
        <v>0</v>
      </c>
      <c r="O59" s="11"/>
      <c r="P59" s="6">
        <v>44159.78</v>
      </c>
      <c r="Q59" s="2"/>
      <c r="R59" s="7">
        <f t="shared" si="24"/>
        <v>8.497642758319332E-2</v>
      </c>
      <c r="S59" s="2"/>
      <c r="T59" s="6">
        <v>0</v>
      </c>
      <c r="U59" s="2"/>
      <c r="V59" s="7">
        <f t="shared" si="25"/>
        <v>0</v>
      </c>
      <c r="W59" s="2"/>
      <c r="X59" s="6">
        <f t="shared" si="26"/>
        <v>44159.78</v>
      </c>
      <c r="Y59" s="2"/>
      <c r="Z59" s="7">
        <f t="shared" si="27"/>
        <v>0</v>
      </c>
    </row>
    <row r="60" spans="1:26" s="24" customFormat="1" hidden="1" outlineLevel="2" x14ac:dyDescent="0.3">
      <c r="A60" s="27"/>
      <c r="B60" s="11" t="str">
        <f>CONCATENATE("          ", "6008", " - ", "STUDENT HOURLY-FICA EXEMPT")</f>
        <v xml:space="preserve">          6008 - STUDENT HOURLY-FICA EXEMPT</v>
      </c>
      <c r="C60" s="11"/>
      <c r="D60" s="6">
        <v>9170.7000000000007</v>
      </c>
      <c r="E60" s="2"/>
      <c r="F60" s="7">
        <f t="shared" si="20"/>
        <v>2.3179979102202534E-2</v>
      </c>
      <c r="G60" s="2"/>
      <c r="H60" s="6">
        <v>27600</v>
      </c>
      <c r="I60" s="2"/>
      <c r="J60" s="7">
        <f t="shared" si="21"/>
        <v>6.5685978185591451E-2</v>
      </c>
      <c r="K60" s="2"/>
      <c r="L60" s="6">
        <f t="shared" si="22"/>
        <v>-18429.3</v>
      </c>
      <c r="M60" s="2"/>
      <c r="N60" s="7">
        <f t="shared" si="23"/>
        <v>-0.66772826086956516</v>
      </c>
      <c r="O60" s="11"/>
      <c r="P60" s="6">
        <v>16695.14</v>
      </c>
      <c r="Q60" s="2"/>
      <c r="R60" s="7">
        <f t="shared" si="24"/>
        <v>3.2126368274508481E-2</v>
      </c>
      <c r="S60" s="2"/>
      <c r="T60" s="6">
        <v>62100</v>
      </c>
      <c r="U60" s="2"/>
      <c r="V60" s="7">
        <f t="shared" si="25"/>
        <v>9.8779806926039215E-2</v>
      </c>
      <c r="W60" s="2"/>
      <c r="X60" s="6">
        <f t="shared" si="26"/>
        <v>-45404.86</v>
      </c>
      <c r="Y60" s="2"/>
      <c r="Z60" s="7">
        <f t="shared" si="27"/>
        <v>-0.73115716586151369</v>
      </c>
    </row>
    <row r="61" spans="1:26" s="24" customFormat="1" hidden="1" outlineLevel="2" x14ac:dyDescent="0.3">
      <c r="A61" s="27"/>
      <c r="B61" s="11" t="str">
        <f>CONCATENATE("          ", "6009", " - ", "TEMPORARY-SEASONAL")</f>
        <v xml:space="preserve">          6009 - TEMPORARY-SEASONAL</v>
      </c>
      <c r="C61" s="11"/>
      <c r="D61" s="6"/>
      <c r="E61" s="2"/>
      <c r="F61" s="7">
        <f t="shared" si="20"/>
        <v>0</v>
      </c>
      <c r="G61" s="2"/>
      <c r="H61" s="6">
        <v>0</v>
      </c>
      <c r="I61" s="2"/>
      <c r="J61" s="7">
        <f t="shared" si="21"/>
        <v>0</v>
      </c>
      <c r="K61" s="2"/>
      <c r="L61" s="6">
        <f t="shared" si="22"/>
        <v>0</v>
      </c>
      <c r="M61" s="2"/>
      <c r="N61" s="7">
        <f t="shared" si="23"/>
        <v>0</v>
      </c>
      <c r="O61" s="11"/>
      <c r="P61" s="6"/>
      <c r="Q61" s="2"/>
      <c r="R61" s="7">
        <f t="shared" si="24"/>
        <v>0</v>
      </c>
      <c r="S61" s="2"/>
      <c r="T61" s="6">
        <v>0</v>
      </c>
      <c r="U61" s="2"/>
      <c r="V61" s="7">
        <f t="shared" si="25"/>
        <v>0</v>
      </c>
      <c r="W61" s="2"/>
      <c r="X61" s="6">
        <f t="shared" si="26"/>
        <v>0</v>
      </c>
      <c r="Y61" s="2"/>
      <c r="Z61" s="7">
        <f t="shared" si="27"/>
        <v>0</v>
      </c>
    </row>
    <row r="62" spans="1:26" s="24" customFormat="1" hidden="1" outlineLevel="2" x14ac:dyDescent="0.3">
      <c r="A62" s="27"/>
      <c r="B62" s="11" t="str">
        <f>CONCATENATE("          ", "6010", " - ", "GRATUITY")</f>
        <v xml:space="preserve">          6010 - GRATUITY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8" customFormat="1" outlineLevel="1" collapsed="1" x14ac:dyDescent="0.3">
      <c r="A63" s="29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SUM(OSRRefD22_2x_0)</f>
        <v>1068.1199999999999</v>
      </c>
      <c r="E63" s="1"/>
      <c r="F63" s="5">
        <f t="shared" ref="F63:F75" si="28">IF(D$12=0,0,D63/D$12)</f>
        <v>2.6997938302032089E-3</v>
      </c>
      <c r="G63" s="1"/>
      <c r="H63" s="1">
        <f>SUM(OSRRefH22_2x_0)</f>
        <v>50</v>
      </c>
      <c r="I63" s="1"/>
      <c r="J63" s="5">
        <f t="shared" ref="J63:J75" si="29">IF(H$12=0,0,H63/H$12)</f>
        <v>1.1899633729273813E-4</v>
      </c>
      <c r="K63" s="1"/>
      <c r="L63" s="1">
        <f t="shared" ref="L63:L75" si="30">+D63-H63</f>
        <v>1018.1199999999999</v>
      </c>
      <c r="M63" s="1"/>
      <c r="N63" s="5">
        <f t="shared" ref="N63:N75" si="31">IF(H63=0,0,L63/H63)</f>
        <v>20.362399999999997</v>
      </c>
      <c r="O63" s="14"/>
      <c r="P63" s="1">
        <f>SUM(OSRRefP22_2x_0)</f>
        <v>1266.75</v>
      </c>
      <c r="Q63" s="1"/>
      <c r="R63" s="5">
        <f t="shared" ref="R63:R75" si="32">IF(P$12=0,0,P63/P$12)</f>
        <v>2.4376002244805147E-3</v>
      </c>
      <c r="S63" s="1"/>
      <c r="T63" s="1">
        <f>SUM(OSRRefT22_2x_0)</f>
        <v>1500</v>
      </c>
      <c r="U63" s="1"/>
      <c r="V63" s="5">
        <f t="shared" ref="V63:V75" si="33">IF(T$12=0,0,T63/T$12)</f>
        <v>2.3859856745420101E-3</v>
      </c>
      <c r="W63" s="1"/>
      <c r="X63" s="1">
        <f t="shared" ref="X63:X75" si="34">+P63-T63</f>
        <v>-233.25</v>
      </c>
      <c r="Y63" s="1"/>
      <c r="Z63" s="5">
        <f t="shared" ref="Z63:Z75" si="35">IF(T63=0,0,X63/T63)</f>
        <v>-0.1555</v>
      </c>
    </row>
    <row r="64" spans="1:26" s="24" customFormat="1" hidden="1" outlineLevel="2" x14ac:dyDescent="0.3">
      <c r="A64" s="27"/>
      <c r="B64" s="11" t="str">
        <f>CONCATENATE("          ", "6362", " - ", "ADVERTISING EXPENSE")</f>
        <v xml:space="preserve">          6362 - ADVERTISING EXPENSE</v>
      </c>
      <c r="C64" s="11"/>
      <c r="D64" s="6">
        <v>1068.1199999999999</v>
      </c>
      <c r="E64" s="2"/>
      <c r="F64" s="7">
        <f t="shared" si="28"/>
        <v>2.6997938302032089E-3</v>
      </c>
      <c r="G64" s="2"/>
      <c r="H64" s="6">
        <v>50</v>
      </c>
      <c r="I64" s="2"/>
      <c r="J64" s="7">
        <f t="shared" si="29"/>
        <v>1.1899633729273813E-4</v>
      </c>
      <c r="K64" s="2"/>
      <c r="L64" s="6">
        <f t="shared" si="30"/>
        <v>1018.1199999999999</v>
      </c>
      <c r="M64" s="2"/>
      <c r="N64" s="7">
        <f t="shared" si="31"/>
        <v>20.362399999999997</v>
      </c>
      <c r="O64" s="11"/>
      <c r="P64" s="6">
        <v>1266.75</v>
      </c>
      <c r="Q64" s="2"/>
      <c r="R64" s="7">
        <f t="shared" si="32"/>
        <v>2.4376002244805147E-3</v>
      </c>
      <c r="S64" s="2"/>
      <c r="T64" s="6">
        <v>1500</v>
      </c>
      <c r="U64" s="2"/>
      <c r="V64" s="7">
        <f t="shared" si="33"/>
        <v>2.3859856745420101E-3</v>
      </c>
      <c r="W64" s="2"/>
      <c r="X64" s="6">
        <f t="shared" si="34"/>
        <v>-233.25</v>
      </c>
      <c r="Y64" s="2"/>
      <c r="Z64" s="7">
        <f t="shared" si="35"/>
        <v>-0.1555</v>
      </c>
    </row>
    <row r="65" spans="1:26" s="28" customFormat="1" outlineLevel="1" collapsed="1" x14ac:dyDescent="0.3">
      <c r="A65" s="29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SUM(OSRRefD22_3x_0)</f>
        <v>0</v>
      </c>
      <c r="E65" s="1"/>
      <c r="F65" s="5">
        <f t="shared" si="28"/>
        <v>0</v>
      </c>
      <c r="G65" s="1"/>
      <c r="H65" s="1">
        <f>SUM(OSRRefH22_3x_0)</f>
        <v>0</v>
      </c>
      <c r="I65" s="1"/>
      <c r="J65" s="5">
        <f t="shared" si="29"/>
        <v>0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SUM(OSRRefP22_3x_0)</f>
        <v>0</v>
      </c>
      <c r="Q65" s="1"/>
      <c r="R65" s="5">
        <f t="shared" si="32"/>
        <v>0</v>
      </c>
      <c r="S65" s="1"/>
      <c r="T65" s="1">
        <f>SUM(OSRRefT22_3x_0)</f>
        <v>0</v>
      </c>
      <c r="U65" s="1"/>
      <c r="V65" s="5">
        <f t="shared" si="33"/>
        <v>0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3">
      <c r="A66" s="27"/>
      <c r="B66" s="11" t="str">
        <f>CONCATENATE("          ", "6272", " - ", "CASH (OVER/SHORT)")</f>
        <v xml:space="preserve">          6272 - CASH (OVER/SHORT)</v>
      </c>
      <c r="C66" s="11"/>
      <c r="D66" s="6"/>
      <c r="E66" s="2"/>
      <c r="F66" s="7">
        <f t="shared" si="28"/>
        <v>0</v>
      </c>
      <c r="G66" s="2"/>
      <c r="H66" s="6">
        <v>0</v>
      </c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/>
      <c r="Q66" s="2"/>
      <c r="R66" s="7">
        <f t="shared" si="32"/>
        <v>0</v>
      </c>
      <c r="S66" s="2"/>
      <c r="T66" s="6">
        <v>0</v>
      </c>
      <c r="U66" s="2"/>
      <c r="V66" s="7">
        <f t="shared" si="33"/>
        <v>0</v>
      </c>
      <c r="W66" s="2"/>
      <c r="X66" s="6">
        <f t="shared" si="34"/>
        <v>0</v>
      </c>
      <c r="Y66" s="2"/>
      <c r="Z66" s="7">
        <f t="shared" si="35"/>
        <v>0</v>
      </c>
    </row>
    <row r="67" spans="1:26" s="28" customFormat="1" outlineLevel="1" collapsed="1" x14ac:dyDescent="0.3">
      <c r="A67" s="29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SUM(OSRRefD22_4x_0)</f>
        <v>0</v>
      </c>
      <c r="E67" s="1"/>
      <c r="F67" s="5">
        <f t="shared" si="28"/>
        <v>0</v>
      </c>
      <c r="G67" s="1"/>
      <c r="H67" s="1">
        <f>SUM(OSRRefH22_4x_0)</f>
        <v>0</v>
      </c>
      <c r="I67" s="1"/>
      <c r="J67" s="5">
        <f t="shared" si="29"/>
        <v>0</v>
      </c>
      <c r="K67" s="1"/>
      <c r="L67" s="1">
        <f t="shared" si="30"/>
        <v>0</v>
      </c>
      <c r="M67" s="1"/>
      <c r="N67" s="5">
        <f t="shared" si="31"/>
        <v>0</v>
      </c>
      <c r="O67" s="14"/>
      <c r="P67" s="1">
        <f>SUM(OSRRefP22_4x_0)</f>
        <v>0</v>
      </c>
      <c r="Q67" s="1"/>
      <c r="R67" s="5">
        <f t="shared" si="32"/>
        <v>0</v>
      </c>
      <c r="S67" s="1"/>
      <c r="T67" s="1">
        <f>SUM(OSRRefT22_4x_0)</f>
        <v>0</v>
      </c>
      <c r="U67" s="1"/>
      <c r="V67" s="5">
        <f t="shared" si="33"/>
        <v>0</v>
      </c>
      <c r="W67" s="1"/>
      <c r="X67" s="1">
        <f t="shared" si="34"/>
        <v>0</v>
      </c>
      <c r="Y67" s="1"/>
      <c r="Z67" s="5">
        <f t="shared" si="35"/>
        <v>0</v>
      </c>
    </row>
    <row r="68" spans="1:26" s="24" customFormat="1" hidden="1" outlineLevel="2" x14ac:dyDescent="0.3">
      <c r="A68" s="27"/>
      <c r="B68" s="11" t="str">
        <f>CONCATENATE("          ", "6381", " - ", "BANK/CREDIT CARD FEES")</f>
        <v xml:space="preserve">          6381 - BANK/CREDIT CARD FEES</v>
      </c>
      <c r="C68" s="11"/>
      <c r="D68" s="6"/>
      <c r="E68" s="2"/>
      <c r="F68" s="7">
        <f t="shared" si="28"/>
        <v>0</v>
      </c>
      <c r="G68" s="2"/>
      <c r="H68" s="6">
        <v>0</v>
      </c>
      <c r="I68" s="2"/>
      <c r="J68" s="7">
        <f t="shared" si="29"/>
        <v>0</v>
      </c>
      <c r="K68" s="2"/>
      <c r="L68" s="6">
        <f t="shared" si="30"/>
        <v>0</v>
      </c>
      <c r="M68" s="2"/>
      <c r="N68" s="7">
        <f t="shared" si="31"/>
        <v>0</v>
      </c>
      <c r="O68" s="11"/>
      <c r="P68" s="6"/>
      <c r="Q68" s="2"/>
      <c r="R68" s="7">
        <f t="shared" si="32"/>
        <v>0</v>
      </c>
      <c r="S68" s="2"/>
      <c r="T68" s="6">
        <v>0</v>
      </c>
      <c r="U68" s="2"/>
      <c r="V68" s="7">
        <f t="shared" si="33"/>
        <v>0</v>
      </c>
      <c r="W68" s="2"/>
      <c r="X68" s="6">
        <f t="shared" si="34"/>
        <v>0</v>
      </c>
      <c r="Y68" s="2"/>
      <c r="Z68" s="7">
        <f t="shared" si="35"/>
        <v>0</v>
      </c>
    </row>
    <row r="69" spans="1:26" s="28" customFormat="1" outlineLevel="1" collapsed="1" x14ac:dyDescent="0.3">
      <c r="A69" s="29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SUM(OSRRefD22_5x_0)</f>
        <v>-66.11</v>
      </c>
      <c r="E69" s="1"/>
      <c r="F69" s="5">
        <f t="shared" si="28"/>
        <v>-1.6710048507165314E-4</v>
      </c>
      <c r="G69" s="1"/>
      <c r="H69" s="1">
        <f>SUM(OSRRefH22_5x_0)</f>
        <v>0</v>
      </c>
      <c r="I69" s="1"/>
      <c r="J69" s="5">
        <f t="shared" si="29"/>
        <v>0</v>
      </c>
      <c r="K69" s="1"/>
      <c r="L69" s="1">
        <f t="shared" si="30"/>
        <v>-66.11</v>
      </c>
      <c r="M69" s="1"/>
      <c r="N69" s="5">
        <f t="shared" si="31"/>
        <v>0</v>
      </c>
      <c r="O69" s="14"/>
      <c r="P69" s="1">
        <f>SUM(OSRRefP22_5x_0)</f>
        <v>-66.11</v>
      </c>
      <c r="Q69" s="1"/>
      <c r="R69" s="5">
        <f t="shared" si="32"/>
        <v>-1.2721511808992054E-4</v>
      </c>
      <c r="S69" s="1"/>
      <c r="T69" s="1">
        <f>SUM(OSRRefT22_5x_0)</f>
        <v>0</v>
      </c>
      <c r="U69" s="1"/>
      <c r="V69" s="5">
        <f t="shared" si="33"/>
        <v>0</v>
      </c>
      <c r="W69" s="1"/>
      <c r="X69" s="1">
        <f t="shared" si="34"/>
        <v>-66.11</v>
      </c>
      <c r="Y69" s="1"/>
      <c r="Z69" s="5">
        <f t="shared" si="35"/>
        <v>0</v>
      </c>
    </row>
    <row r="70" spans="1:26" s="24" customFormat="1" hidden="1" outlineLevel="2" x14ac:dyDescent="0.3">
      <c r="A70" s="27"/>
      <c r="B70" s="11" t="str">
        <f>CONCATENATE("          ", "9175", " - ", "EARNED DISCOUNTS")</f>
        <v xml:space="preserve">          9175 - EARNED DISCOUNTS</v>
      </c>
      <c r="C70" s="11"/>
      <c r="D70" s="6">
        <v>-66.11</v>
      </c>
      <c r="E70" s="2"/>
      <c r="F70" s="7">
        <f t="shared" si="28"/>
        <v>-1.6710048507165314E-4</v>
      </c>
      <c r="G70" s="2"/>
      <c r="H70" s="6"/>
      <c r="I70" s="2"/>
      <c r="J70" s="7">
        <f t="shared" si="29"/>
        <v>0</v>
      </c>
      <c r="K70" s="2"/>
      <c r="L70" s="6">
        <f t="shared" si="30"/>
        <v>-66.11</v>
      </c>
      <c r="M70" s="2"/>
      <c r="N70" s="7">
        <f t="shared" si="31"/>
        <v>0</v>
      </c>
      <c r="O70" s="11"/>
      <c r="P70" s="6">
        <v>-66.11</v>
      </c>
      <c r="Q70" s="2"/>
      <c r="R70" s="7">
        <f t="shared" si="32"/>
        <v>-1.2721511808992054E-4</v>
      </c>
      <c r="S70" s="2"/>
      <c r="T70" s="6"/>
      <c r="U70" s="2"/>
      <c r="V70" s="7">
        <f t="shared" si="33"/>
        <v>0</v>
      </c>
      <c r="W70" s="2"/>
      <c r="X70" s="6">
        <f t="shared" si="34"/>
        <v>-66.11</v>
      </c>
      <c r="Y70" s="2"/>
      <c r="Z70" s="7">
        <f t="shared" si="35"/>
        <v>0</v>
      </c>
    </row>
    <row r="71" spans="1:26" s="28" customFormat="1" outlineLevel="1" collapsed="1" x14ac:dyDescent="0.3">
      <c r="A71" s="29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SUM(OSRRefD22_6x_0)</f>
        <v>0</v>
      </c>
      <c r="E71" s="1"/>
      <c r="F71" s="5">
        <f t="shared" si="28"/>
        <v>0</v>
      </c>
      <c r="G71" s="1"/>
      <c r="H71" s="1">
        <f>SUM(OSRRefH22_6x_0)</f>
        <v>50</v>
      </c>
      <c r="I71" s="1"/>
      <c r="J71" s="5">
        <f t="shared" si="29"/>
        <v>1.1899633729273813E-4</v>
      </c>
      <c r="K71" s="1"/>
      <c r="L71" s="1">
        <f t="shared" si="30"/>
        <v>-50</v>
      </c>
      <c r="M71" s="1"/>
      <c r="N71" s="5">
        <f t="shared" si="31"/>
        <v>-1</v>
      </c>
      <c r="O71" s="14"/>
      <c r="P71" s="1">
        <f>SUM(OSRRefP22_6x_0)</f>
        <v>216.44</v>
      </c>
      <c r="Q71" s="1"/>
      <c r="R71" s="5">
        <f t="shared" si="32"/>
        <v>4.1649433004662534E-4</v>
      </c>
      <c r="S71" s="1"/>
      <c r="T71" s="1">
        <f>SUM(OSRRefT22_6x_0)</f>
        <v>100</v>
      </c>
      <c r="U71" s="1"/>
      <c r="V71" s="5">
        <f t="shared" si="33"/>
        <v>1.5906571163613401E-4</v>
      </c>
      <c r="W71" s="1"/>
      <c r="X71" s="1">
        <f t="shared" si="34"/>
        <v>116.44</v>
      </c>
      <c r="Y71" s="1"/>
      <c r="Z71" s="5">
        <f t="shared" si="35"/>
        <v>1.1643999999999999</v>
      </c>
    </row>
    <row r="72" spans="1:26" s="24" customFormat="1" hidden="1" outlineLevel="2" x14ac:dyDescent="0.3">
      <c r="A72" s="27"/>
      <c r="B72" s="11" t="str">
        <f>CONCATENATE("          ", "6277", " - ", "EMPLOYEE APPRECIATION")</f>
        <v xml:space="preserve">          6277 - EMPLOYEE APPRECIATION</v>
      </c>
      <c r="C72" s="11"/>
      <c r="D72" s="6"/>
      <c r="E72" s="2"/>
      <c r="F72" s="7">
        <f t="shared" si="28"/>
        <v>0</v>
      </c>
      <c r="G72" s="2"/>
      <c r="H72" s="6">
        <v>50</v>
      </c>
      <c r="I72" s="2"/>
      <c r="J72" s="7">
        <f t="shared" si="29"/>
        <v>1.1899633729273813E-4</v>
      </c>
      <c r="K72" s="2"/>
      <c r="L72" s="6">
        <f t="shared" si="30"/>
        <v>-50</v>
      </c>
      <c r="M72" s="2"/>
      <c r="N72" s="7">
        <f t="shared" si="31"/>
        <v>-1</v>
      </c>
      <c r="O72" s="11"/>
      <c r="P72" s="6">
        <v>216.44</v>
      </c>
      <c r="Q72" s="2"/>
      <c r="R72" s="7">
        <f t="shared" si="32"/>
        <v>4.1649433004662534E-4</v>
      </c>
      <c r="S72" s="2"/>
      <c r="T72" s="6">
        <v>100</v>
      </c>
      <c r="U72" s="2"/>
      <c r="V72" s="7">
        <f t="shared" si="33"/>
        <v>1.5906571163613401E-4</v>
      </c>
      <c r="W72" s="2"/>
      <c r="X72" s="6">
        <f t="shared" si="34"/>
        <v>116.44</v>
      </c>
      <c r="Y72" s="2"/>
      <c r="Z72" s="7">
        <f t="shared" si="35"/>
        <v>1.1643999999999999</v>
      </c>
    </row>
    <row r="73" spans="1:26" s="28" customFormat="1" outlineLevel="1" collapsed="1" x14ac:dyDescent="0.3">
      <c r="A73" s="29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SUM(OSRRefD22_7x_0)</f>
        <v>16.16</v>
      </c>
      <c r="E73" s="1"/>
      <c r="F73" s="5">
        <f t="shared" si="28"/>
        <v>4.0846223547994475E-5</v>
      </c>
      <c r="G73" s="1"/>
      <c r="H73" s="1">
        <f>SUM(OSRRefH22_7x_0)</f>
        <v>50</v>
      </c>
      <c r="I73" s="1"/>
      <c r="J73" s="5">
        <f t="shared" si="29"/>
        <v>1.1899633729273813E-4</v>
      </c>
      <c r="K73" s="1"/>
      <c r="L73" s="1">
        <f t="shared" si="30"/>
        <v>-33.840000000000003</v>
      </c>
      <c r="M73" s="1"/>
      <c r="N73" s="5">
        <f t="shared" si="31"/>
        <v>-0.67680000000000007</v>
      </c>
      <c r="O73" s="14"/>
      <c r="P73" s="1">
        <f>SUM(OSRRefP22_7x_0)</f>
        <v>873.29</v>
      </c>
      <c r="Q73" s="1"/>
      <c r="R73" s="5">
        <f t="shared" si="32"/>
        <v>1.6804672587618619E-3</v>
      </c>
      <c r="S73" s="1"/>
      <c r="T73" s="1">
        <f>SUM(OSRRefT22_7x_0)</f>
        <v>100</v>
      </c>
      <c r="U73" s="1"/>
      <c r="V73" s="5">
        <f t="shared" si="33"/>
        <v>1.5906571163613401E-4</v>
      </c>
      <c r="W73" s="1"/>
      <c r="X73" s="1">
        <f t="shared" si="34"/>
        <v>773.29</v>
      </c>
      <c r="Y73" s="1"/>
      <c r="Z73" s="5">
        <f t="shared" si="35"/>
        <v>7.7328999999999999</v>
      </c>
    </row>
    <row r="74" spans="1:26" s="24" customFormat="1" hidden="1" outlineLevel="2" x14ac:dyDescent="0.3">
      <c r="A74" s="27"/>
      <c r="B74" s="11" t="str">
        <f>CONCATENATE("          ", "6305", " - ", "FREIGHT OUT")</f>
        <v xml:space="preserve">          6305 - FREIGHT OUT</v>
      </c>
      <c r="C74" s="11"/>
      <c r="D74" s="6">
        <v>16.16</v>
      </c>
      <c r="E74" s="2"/>
      <c r="F74" s="7">
        <f t="shared" si="28"/>
        <v>4.0846223547994475E-5</v>
      </c>
      <c r="G74" s="2"/>
      <c r="H74" s="6">
        <v>50</v>
      </c>
      <c r="I74" s="2"/>
      <c r="J74" s="7">
        <f t="shared" si="29"/>
        <v>1.1899633729273813E-4</v>
      </c>
      <c r="K74" s="2"/>
      <c r="L74" s="6">
        <f t="shared" si="30"/>
        <v>-33.840000000000003</v>
      </c>
      <c r="M74" s="2"/>
      <c r="N74" s="7">
        <f t="shared" si="31"/>
        <v>-0.67680000000000007</v>
      </c>
      <c r="O74" s="11"/>
      <c r="P74" s="6">
        <v>861.87</v>
      </c>
      <c r="Q74" s="2"/>
      <c r="R74" s="7">
        <f t="shared" si="32"/>
        <v>1.6584918140698807E-3</v>
      </c>
      <c r="S74" s="2"/>
      <c r="T74" s="6">
        <v>100</v>
      </c>
      <c r="U74" s="2"/>
      <c r="V74" s="7">
        <f t="shared" si="33"/>
        <v>1.5906571163613401E-4</v>
      </c>
      <c r="W74" s="2"/>
      <c r="X74" s="6">
        <f t="shared" si="34"/>
        <v>761.87</v>
      </c>
      <c r="Y74" s="2"/>
      <c r="Z74" s="7">
        <f t="shared" si="35"/>
        <v>7.6187000000000005</v>
      </c>
    </row>
    <row r="75" spans="1:26" s="24" customFormat="1" hidden="1" outlineLevel="2" x14ac:dyDescent="0.3">
      <c r="A75" s="27"/>
      <c r="B75" s="11" t="str">
        <f>CONCATENATE("          ", "6307", " - ", "POSTAGE")</f>
        <v xml:space="preserve">          6307 - POSTAGE</v>
      </c>
      <c r="C75" s="11"/>
      <c r="D75" s="6"/>
      <c r="E75" s="2"/>
      <c r="F75" s="7">
        <f t="shared" si="28"/>
        <v>0</v>
      </c>
      <c r="G75" s="2"/>
      <c r="H75" s="6"/>
      <c r="I75" s="2"/>
      <c r="J75" s="7">
        <f t="shared" si="29"/>
        <v>0</v>
      </c>
      <c r="K75" s="2"/>
      <c r="L75" s="6">
        <f t="shared" si="30"/>
        <v>0</v>
      </c>
      <c r="M75" s="2"/>
      <c r="N75" s="7">
        <f t="shared" si="31"/>
        <v>0</v>
      </c>
      <c r="O75" s="11"/>
      <c r="P75" s="6">
        <v>11.42</v>
      </c>
      <c r="Q75" s="2"/>
      <c r="R75" s="7">
        <f t="shared" si="32"/>
        <v>2.1975444691981432E-5</v>
      </c>
      <c r="S75" s="2"/>
      <c r="T75" s="6"/>
      <c r="U75" s="2"/>
      <c r="V75" s="7">
        <f t="shared" si="33"/>
        <v>0</v>
      </c>
      <c r="W75" s="2"/>
      <c r="X75" s="6">
        <f t="shared" si="34"/>
        <v>11.42</v>
      </c>
      <c r="Y75" s="2"/>
      <c r="Z75" s="7">
        <f t="shared" si="35"/>
        <v>0</v>
      </c>
    </row>
    <row r="76" spans="1:26" s="28" customFormat="1" outlineLevel="1" collapsed="1" x14ac:dyDescent="0.3">
      <c r="A76" s="29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SUM(OSRRefD22_8x_0)</f>
        <v>0</v>
      </c>
      <c r="E76" s="1"/>
      <c r="F76" s="5">
        <f t="shared" ref="F76:F84" si="36">IF(D$12=0,0,D76/D$12)</f>
        <v>0</v>
      </c>
      <c r="G76" s="1"/>
      <c r="H76" s="1">
        <f>SUM(OSRRefH22_8x_0)</f>
        <v>0</v>
      </c>
      <c r="I76" s="1"/>
      <c r="J76" s="5">
        <f t="shared" ref="J76:J84" si="37">IF(H$12=0,0,H76/H$12)</f>
        <v>0</v>
      </c>
      <c r="K76" s="1"/>
      <c r="L76" s="1">
        <f t="shared" ref="L76:L84" si="38">+D76-H76</f>
        <v>0</v>
      </c>
      <c r="M76" s="1"/>
      <c r="N76" s="5">
        <f t="shared" ref="N76:N84" si="39">IF(H76=0,0,L76/H76)</f>
        <v>0</v>
      </c>
      <c r="O76" s="14"/>
      <c r="P76" s="1">
        <f>SUM(OSRRefP22_8x_0)</f>
        <v>0</v>
      </c>
      <c r="Q76" s="1"/>
      <c r="R76" s="5">
        <f t="shared" ref="R76:R84" si="40">IF(P$12=0,0,P76/P$12)</f>
        <v>0</v>
      </c>
      <c r="S76" s="1"/>
      <c r="T76" s="1">
        <f>SUM(OSRRefT22_8x_0)</f>
        <v>0</v>
      </c>
      <c r="U76" s="1"/>
      <c r="V76" s="5">
        <f t="shared" ref="V76:V84" si="41">IF(T$12=0,0,T76/T$12)</f>
        <v>0</v>
      </c>
      <c r="W76" s="1"/>
      <c r="X76" s="1">
        <f t="shared" ref="X76:X84" si="42">+P76-T76</f>
        <v>0</v>
      </c>
      <c r="Y76" s="1"/>
      <c r="Z76" s="5">
        <f t="shared" ref="Z76:Z84" si="43">IF(T76=0,0,X76/T76)</f>
        <v>0</v>
      </c>
    </row>
    <row r="77" spans="1:26" s="24" customFormat="1" hidden="1" outlineLevel="2" x14ac:dyDescent="0.3">
      <c r="A77" s="27"/>
      <c r="B77" s="11" t="str">
        <f>CONCATENATE("          ", "6279", " - ", "GENERAL EXPENSE")</f>
        <v xml:space="preserve">          6279 - GENERAL EXPENSE</v>
      </c>
      <c r="C77" s="11"/>
      <c r="D77" s="6"/>
      <c r="E77" s="2"/>
      <c r="F77" s="7">
        <f t="shared" si="36"/>
        <v>0</v>
      </c>
      <c r="G77" s="2"/>
      <c r="H77" s="6">
        <v>0</v>
      </c>
      <c r="I77" s="2"/>
      <c r="J77" s="7">
        <f t="shared" si="37"/>
        <v>0</v>
      </c>
      <c r="K77" s="2"/>
      <c r="L77" s="6">
        <f t="shared" si="38"/>
        <v>0</v>
      </c>
      <c r="M77" s="2"/>
      <c r="N77" s="7">
        <f t="shared" si="39"/>
        <v>0</v>
      </c>
      <c r="O77" s="11"/>
      <c r="P77" s="6"/>
      <c r="Q77" s="2"/>
      <c r="R77" s="7">
        <f t="shared" si="40"/>
        <v>0</v>
      </c>
      <c r="S77" s="2"/>
      <c r="T77" s="6">
        <v>0</v>
      </c>
      <c r="U77" s="2"/>
      <c r="V77" s="7">
        <f t="shared" si="41"/>
        <v>0</v>
      </c>
      <c r="W77" s="2"/>
      <c r="X77" s="6">
        <f t="shared" si="42"/>
        <v>0</v>
      </c>
      <c r="Y77" s="2"/>
      <c r="Z77" s="7">
        <f t="shared" si="43"/>
        <v>0</v>
      </c>
    </row>
    <row r="78" spans="1:26" s="28" customFormat="1" outlineLevel="1" collapsed="1" x14ac:dyDescent="0.3">
      <c r="A78" s="29"/>
      <c r="B78" s="14" t="str">
        <f>CONCATENATE("     ","Inventory Adjustment                              ")</f>
        <v xml:space="preserve">     Inventory Adjustment                              </v>
      </c>
      <c r="C78" s="14"/>
      <c r="D78" s="1">
        <f>SUM(OSRRefD22_9x_0)</f>
        <v>3350</v>
      </c>
      <c r="E78" s="1"/>
      <c r="F78" s="5">
        <f t="shared" si="36"/>
        <v>8.4675030251102415E-3</v>
      </c>
      <c r="G78" s="1"/>
      <c r="H78" s="1">
        <f>SUM(OSRRefH22_9x_0)</f>
        <v>3350</v>
      </c>
      <c r="I78" s="1"/>
      <c r="J78" s="5">
        <f t="shared" si="37"/>
        <v>7.9727545986134542E-3</v>
      </c>
      <c r="K78" s="1"/>
      <c r="L78" s="1">
        <f t="shared" si="38"/>
        <v>0</v>
      </c>
      <c r="M78" s="1"/>
      <c r="N78" s="5">
        <f t="shared" si="39"/>
        <v>0</v>
      </c>
      <c r="O78" s="14"/>
      <c r="P78" s="1">
        <f>SUM(OSRRefP22_9x_0)</f>
        <v>6700</v>
      </c>
      <c r="Q78" s="1"/>
      <c r="R78" s="5">
        <f t="shared" si="40"/>
        <v>1.2892774031197513E-2</v>
      </c>
      <c r="S78" s="1"/>
      <c r="T78" s="1">
        <f>SUM(OSRRefT22_9x_0)</f>
        <v>6700</v>
      </c>
      <c r="U78" s="1"/>
      <c r="V78" s="5">
        <f t="shared" si="41"/>
        <v>1.0657402679620977E-2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3">
      <c r="A79" s="27"/>
      <c r="B79" s="11" t="str">
        <f>CONCATENATE("          ", "6408", " - ", "INVENTORY ADJUSTMENT")</f>
        <v xml:space="preserve">          6408 - INVENTORY ADJUSTMENT</v>
      </c>
      <c r="C79" s="11"/>
      <c r="D79" s="6">
        <v>3350</v>
      </c>
      <c r="E79" s="2"/>
      <c r="F79" s="7">
        <f t="shared" si="36"/>
        <v>8.4675030251102415E-3</v>
      </c>
      <c r="G79" s="2"/>
      <c r="H79" s="6">
        <v>3350</v>
      </c>
      <c r="I79" s="2"/>
      <c r="J79" s="7">
        <f t="shared" si="37"/>
        <v>7.9727545986134542E-3</v>
      </c>
      <c r="K79" s="2"/>
      <c r="L79" s="6">
        <f t="shared" si="38"/>
        <v>0</v>
      </c>
      <c r="M79" s="2"/>
      <c r="N79" s="7">
        <f t="shared" si="39"/>
        <v>0</v>
      </c>
      <c r="O79" s="11"/>
      <c r="P79" s="6">
        <v>6700</v>
      </c>
      <c r="Q79" s="2"/>
      <c r="R79" s="7">
        <f t="shared" si="40"/>
        <v>1.2892774031197513E-2</v>
      </c>
      <c r="S79" s="2"/>
      <c r="T79" s="6">
        <v>6700</v>
      </c>
      <c r="U79" s="2"/>
      <c r="V79" s="7">
        <f t="shared" si="41"/>
        <v>1.0657402679620977E-2</v>
      </c>
      <c r="W79" s="2"/>
      <c r="X79" s="6">
        <f t="shared" si="42"/>
        <v>0</v>
      </c>
      <c r="Y79" s="2"/>
      <c r="Z79" s="7">
        <f t="shared" si="43"/>
        <v>0</v>
      </c>
    </row>
    <row r="80" spans="1:26" s="28" customFormat="1" outlineLevel="1" collapsed="1" x14ac:dyDescent="0.3">
      <c r="A80" s="29"/>
      <c r="B80" s="14" t="str">
        <f>CONCATENATE("     ","Professional Services                             ")</f>
        <v xml:space="preserve">     Professional Services                             </v>
      </c>
      <c r="C80" s="14"/>
      <c r="D80" s="1">
        <f>SUM(OSRRefD22_10x_0)</f>
        <v>0</v>
      </c>
      <c r="E80" s="1"/>
      <c r="F80" s="5">
        <f t="shared" si="36"/>
        <v>0</v>
      </c>
      <c r="G80" s="1"/>
      <c r="H80" s="1">
        <f>SUM(OSRRefH22_10x_0)</f>
        <v>0</v>
      </c>
      <c r="I80" s="1"/>
      <c r="J80" s="5">
        <f t="shared" si="37"/>
        <v>0</v>
      </c>
      <c r="K80" s="1"/>
      <c r="L80" s="1">
        <f t="shared" si="38"/>
        <v>0</v>
      </c>
      <c r="M80" s="1"/>
      <c r="N80" s="5">
        <f t="shared" si="39"/>
        <v>0</v>
      </c>
      <c r="O80" s="14"/>
      <c r="P80" s="1">
        <f>SUM(OSRRefP22_10x_0)</f>
        <v>0</v>
      </c>
      <c r="Q80" s="1"/>
      <c r="R80" s="5">
        <f t="shared" si="40"/>
        <v>0</v>
      </c>
      <c r="S80" s="1"/>
      <c r="T80" s="1">
        <f>SUM(OSRRefT22_10x_0)</f>
        <v>250</v>
      </c>
      <c r="U80" s="1"/>
      <c r="V80" s="5">
        <f t="shared" si="41"/>
        <v>3.9766427909033498E-4</v>
      </c>
      <c r="W80" s="1"/>
      <c r="X80" s="1">
        <f t="shared" si="42"/>
        <v>-250</v>
      </c>
      <c r="Y80" s="1"/>
      <c r="Z80" s="5">
        <f t="shared" si="43"/>
        <v>-1</v>
      </c>
    </row>
    <row r="81" spans="1:26" s="24" customFormat="1" hidden="1" outlineLevel="2" x14ac:dyDescent="0.3">
      <c r="A81" s="27"/>
      <c r="B81" s="11" t="str">
        <f>CONCATENATE("          ", "6336", " - ", "PROFESSIONAL SERVICES")</f>
        <v xml:space="preserve">          6336 - PROFESSIONAL SERVICES</v>
      </c>
      <c r="C81" s="11"/>
      <c r="D81" s="6"/>
      <c r="E81" s="2"/>
      <c r="F81" s="7">
        <f t="shared" si="36"/>
        <v>0</v>
      </c>
      <c r="G81" s="2"/>
      <c r="H81" s="6">
        <v>0</v>
      </c>
      <c r="I81" s="2"/>
      <c r="J81" s="7">
        <f t="shared" si="37"/>
        <v>0</v>
      </c>
      <c r="K81" s="2"/>
      <c r="L81" s="6">
        <f t="shared" si="38"/>
        <v>0</v>
      </c>
      <c r="M81" s="2"/>
      <c r="N81" s="7">
        <f t="shared" si="39"/>
        <v>0</v>
      </c>
      <c r="O81" s="11"/>
      <c r="P81" s="6"/>
      <c r="Q81" s="2"/>
      <c r="R81" s="7">
        <f t="shared" si="40"/>
        <v>0</v>
      </c>
      <c r="S81" s="2"/>
      <c r="T81" s="6">
        <v>250</v>
      </c>
      <c r="U81" s="2"/>
      <c r="V81" s="7">
        <f t="shared" si="41"/>
        <v>3.9766427909033498E-4</v>
      </c>
      <c r="W81" s="2"/>
      <c r="X81" s="6">
        <f t="shared" si="42"/>
        <v>-250</v>
      </c>
      <c r="Y81" s="2"/>
      <c r="Z81" s="7">
        <f t="shared" si="43"/>
        <v>-1</v>
      </c>
    </row>
    <row r="82" spans="1:26" s="28" customFormat="1" outlineLevel="1" collapsed="1" x14ac:dyDescent="0.3">
      <c r="A82" s="29"/>
      <c r="B82" s="14" t="str">
        <f>CONCATENATE("     ","Repair and Maintenance                            ")</f>
        <v xml:space="preserve">     Repair and Maintenance                            </v>
      </c>
      <c r="C82" s="14"/>
      <c r="D82" s="1">
        <f>SUM(OSRRefD22_11x_0)</f>
        <v>9.24</v>
      </c>
      <c r="E82" s="1"/>
      <c r="F82" s="5">
        <f t="shared" si="36"/>
        <v>2.3355142672244366E-5</v>
      </c>
      <c r="G82" s="1"/>
      <c r="H82" s="1">
        <f>SUM(OSRRefH22_11x_0)</f>
        <v>0</v>
      </c>
      <c r="I82" s="1"/>
      <c r="J82" s="5">
        <f t="shared" si="37"/>
        <v>0</v>
      </c>
      <c r="K82" s="1"/>
      <c r="L82" s="1">
        <f t="shared" si="38"/>
        <v>9.24</v>
      </c>
      <c r="M82" s="1"/>
      <c r="N82" s="5">
        <f t="shared" si="39"/>
        <v>0</v>
      </c>
      <c r="O82" s="14"/>
      <c r="P82" s="1">
        <f>SUM(OSRRefP22_11x_0)</f>
        <v>9.24</v>
      </c>
      <c r="Q82" s="1"/>
      <c r="R82" s="5">
        <f t="shared" si="40"/>
        <v>1.7780482395263437E-5</v>
      </c>
      <c r="S82" s="1"/>
      <c r="T82" s="1">
        <f>SUM(OSRRefT22_11x_0)</f>
        <v>0</v>
      </c>
      <c r="U82" s="1"/>
      <c r="V82" s="5">
        <f t="shared" si="41"/>
        <v>0</v>
      </c>
      <c r="W82" s="1"/>
      <c r="X82" s="1">
        <f t="shared" si="42"/>
        <v>9.24</v>
      </c>
      <c r="Y82" s="1"/>
      <c r="Z82" s="5">
        <f t="shared" si="43"/>
        <v>0</v>
      </c>
    </row>
    <row r="83" spans="1:26" s="24" customFormat="1" hidden="1" outlineLevel="2" x14ac:dyDescent="0.3">
      <c r="A83" s="27"/>
      <c r="B83" s="11" t="str">
        <f>CONCATENATE("          ", "6373", " - ", "MAINTENANCE CONTRACTS")</f>
        <v xml:space="preserve">          6373 - MAINTENANCE CONTRACTS</v>
      </c>
      <c r="C83" s="11"/>
      <c r="D83" s="6">
        <v>5.7</v>
      </c>
      <c r="E83" s="2"/>
      <c r="F83" s="7">
        <f t="shared" si="36"/>
        <v>1.4407393206903992E-5</v>
      </c>
      <c r="G83" s="2"/>
      <c r="H83" s="6"/>
      <c r="I83" s="2"/>
      <c r="J83" s="7">
        <f t="shared" si="37"/>
        <v>0</v>
      </c>
      <c r="K83" s="2"/>
      <c r="L83" s="6">
        <f t="shared" si="38"/>
        <v>5.7</v>
      </c>
      <c r="M83" s="2"/>
      <c r="N83" s="7">
        <f t="shared" si="39"/>
        <v>0</v>
      </c>
      <c r="O83" s="11"/>
      <c r="P83" s="6">
        <v>5.7</v>
      </c>
      <c r="Q83" s="2"/>
      <c r="R83" s="7">
        <f t="shared" si="40"/>
        <v>1.0968479399675496E-5</v>
      </c>
      <c r="S83" s="2"/>
      <c r="T83" s="6"/>
      <c r="U83" s="2"/>
      <c r="V83" s="7">
        <f t="shared" si="41"/>
        <v>0</v>
      </c>
      <c r="W83" s="2"/>
      <c r="X83" s="6">
        <f t="shared" si="42"/>
        <v>5.7</v>
      </c>
      <c r="Y83" s="2"/>
      <c r="Z83" s="7">
        <f t="shared" si="43"/>
        <v>0</v>
      </c>
    </row>
    <row r="84" spans="1:26" s="24" customFormat="1" hidden="1" outlineLevel="2" x14ac:dyDescent="0.3">
      <c r="A84" s="27"/>
      <c r="B84" s="11" t="str">
        <f>CONCATENATE("          ", "6375", " - ", "OUTSIDE REPAIRS &amp; MAINTENANCE")</f>
        <v xml:space="preserve">          6375 - OUTSIDE REPAIRS &amp; MAINTENANCE</v>
      </c>
      <c r="C84" s="11"/>
      <c r="D84" s="6">
        <v>3.54</v>
      </c>
      <c r="E84" s="2"/>
      <c r="F84" s="7">
        <f t="shared" si="36"/>
        <v>8.9477494653403735E-6</v>
      </c>
      <c r="G84" s="2"/>
      <c r="H84" s="6">
        <v>0</v>
      </c>
      <c r="I84" s="2"/>
      <c r="J84" s="7">
        <f t="shared" si="37"/>
        <v>0</v>
      </c>
      <c r="K84" s="2"/>
      <c r="L84" s="6">
        <f t="shared" si="38"/>
        <v>3.54</v>
      </c>
      <c r="M84" s="2"/>
      <c r="N84" s="7">
        <f t="shared" si="39"/>
        <v>0</v>
      </c>
      <c r="O84" s="11"/>
      <c r="P84" s="6">
        <v>3.54</v>
      </c>
      <c r="Q84" s="2"/>
      <c r="R84" s="7">
        <f t="shared" si="40"/>
        <v>6.8120029955879393E-6</v>
      </c>
      <c r="S84" s="2"/>
      <c r="T84" s="6">
        <v>0</v>
      </c>
      <c r="U84" s="2"/>
      <c r="V84" s="7">
        <f t="shared" si="41"/>
        <v>0</v>
      </c>
      <c r="W84" s="2"/>
      <c r="X84" s="6">
        <f t="shared" si="42"/>
        <v>3.54</v>
      </c>
      <c r="Y84" s="2"/>
      <c r="Z84" s="7">
        <f t="shared" si="43"/>
        <v>0</v>
      </c>
    </row>
    <row r="85" spans="1:26" s="28" customFormat="1" outlineLevel="1" collapsed="1" x14ac:dyDescent="0.3">
      <c r="A85" s="29"/>
      <c r="B85" s="14" t="str">
        <f>CONCATENATE("     ","Royalty &amp; Commissions                             ")</f>
        <v xml:space="preserve">     Royalty &amp; Commissions                             </v>
      </c>
      <c r="C85" s="14"/>
      <c r="D85" s="1">
        <f>SUM(OSRRefD22_12x_0)</f>
        <v>0</v>
      </c>
      <c r="E85" s="1"/>
      <c r="F85" s="5">
        <f t="shared" ref="F85:F88" si="44">IF(D$12=0,0,D85/D$12)</f>
        <v>0</v>
      </c>
      <c r="G85" s="1"/>
      <c r="H85" s="1">
        <f>SUM(OSRRefH22_12x_0)</f>
        <v>2080</v>
      </c>
      <c r="I85" s="1"/>
      <c r="J85" s="5">
        <f t="shared" ref="J85:J88" si="45">IF(H$12=0,0,H85/H$12)</f>
        <v>4.9502476313779062E-3</v>
      </c>
      <c r="K85" s="1"/>
      <c r="L85" s="1">
        <f t="shared" ref="L85:L88" si="46">+D85-H85</f>
        <v>-2080</v>
      </c>
      <c r="M85" s="1"/>
      <c r="N85" s="5">
        <f t="shared" ref="N85:N88" si="47">IF(H85=0,0,L85/H85)</f>
        <v>-1</v>
      </c>
      <c r="O85" s="14"/>
      <c r="P85" s="1">
        <f>SUM(OSRRefP22_12x_0)</f>
        <v>7349.0400000000009</v>
      </c>
      <c r="Q85" s="1"/>
      <c r="R85" s="5">
        <f t="shared" ref="R85:R88" si="48">IF(P$12=0,0,P85/P$12)</f>
        <v>1.4141718218840565E-2</v>
      </c>
      <c r="S85" s="1"/>
      <c r="T85" s="1">
        <f>SUM(OSRRefT22_12x_0)</f>
        <v>8594</v>
      </c>
      <c r="U85" s="1"/>
      <c r="V85" s="5">
        <f t="shared" ref="V85:V88" si="49">IF(T$12=0,0,T85/T$12)</f>
        <v>1.3670107258009356E-2</v>
      </c>
      <c r="W85" s="1"/>
      <c r="X85" s="1">
        <f t="shared" ref="X85:X88" si="50">+P85-T85</f>
        <v>-1244.9599999999991</v>
      </c>
      <c r="Y85" s="1"/>
      <c r="Z85" s="5">
        <f t="shared" ref="Z85:Z88" si="51">IF(T85=0,0,X85/T85)</f>
        <v>-0.14486385850593428</v>
      </c>
    </row>
    <row r="86" spans="1:26" s="24" customFormat="1" hidden="1" outlineLevel="2" x14ac:dyDescent="0.3">
      <c r="A86" s="27"/>
      <c r="B86" s="11" t="str">
        <f>CONCATENATE("          ", "6252", " - ", "ROYALTY DUE CSTV")</f>
        <v xml:space="preserve">          6252 - ROYALTY DUE CSTV</v>
      </c>
      <c r="C86" s="11"/>
      <c r="D86" s="6"/>
      <c r="E86" s="2"/>
      <c r="F86" s="7">
        <f t="shared" si="44"/>
        <v>0</v>
      </c>
      <c r="G86" s="2"/>
      <c r="H86" s="6">
        <v>2080</v>
      </c>
      <c r="I86" s="2"/>
      <c r="J86" s="7">
        <f t="shared" si="45"/>
        <v>4.9502476313779062E-3</v>
      </c>
      <c r="K86" s="2"/>
      <c r="L86" s="6">
        <f t="shared" si="46"/>
        <v>-2080</v>
      </c>
      <c r="M86" s="2"/>
      <c r="N86" s="7">
        <f t="shared" si="47"/>
        <v>-1</v>
      </c>
      <c r="O86" s="11"/>
      <c r="P86" s="6"/>
      <c r="Q86" s="2"/>
      <c r="R86" s="7">
        <f t="shared" si="48"/>
        <v>0</v>
      </c>
      <c r="S86" s="2"/>
      <c r="T86" s="6">
        <v>2922</v>
      </c>
      <c r="U86" s="2"/>
      <c r="V86" s="7">
        <f t="shared" si="49"/>
        <v>4.6479000940078353E-3</v>
      </c>
      <c r="W86" s="2"/>
      <c r="X86" s="6">
        <f t="shared" si="50"/>
        <v>-2922</v>
      </c>
      <c r="Y86" s="2"/>
      <c r="Z86" s="7">
        <f t="shared" si="51"/>
        <v>-1</v>
      </c>
    </row>
    <row r="87" spans="1:26" s="24" customFormat="1" hidden="1" outlineLevel="2" x14ac:dyDescent="0.3">
      <c r="A87" s="27"/>
      <c r="B87" s="11" t="str">
        <f>CONCATENATE("          ", "6253", " - ", "ROYALTY DUE ATHLETICS-LRG")</f>
        <v xml:space="preserve">          6253 - ROYALTY DUE ATHLETICS-LRG</v>
      </c>
      <c r="C87" s="11"/>
      <c r="D87" s="6"/>
      <c r="E87" s="2"/>
      <c r="F87" s="7">
        <f t="shared" si="44"/>
        <v>0</v>
      </c>
      <c r="G87" s="2"/>
      <c r="H87" s="6">
        <v>0</v>
      </c>
      <c r="I87" s="2"/>
      <c r="J87" s="7">
        <f t="shared" si="45"/>
        <v>0</v>
      </c>
      <c r="K87" s="2"/>
      <c r="L87" s="6">
        <f t="shared" si="46"/>
        <v>0</v>
      </c>
      <c r="M87" s="2"/>
      <c r="N87" s="7">
        <f t="shared" si="47"/>
        <v>0</v>
      </c>
      <c r="O87" s="11"/>
      <c r="P87" s="6">
        <v>14376.54</v>
      </c>
      <c r="Q87" s="2"/>
      <c r="R87" s="7">
        <f t="shared" si="48"/>
        <v>2.7664698741861539E-2</v>
      </c>
      <c r="S87" s="2"/>
      <c r="T87" s="6">
        <v>5672</v>
      </c>
      <c r="U87" s="2"/>
      <c r="V87" s="7">
        <f t="shared" si="49"/>
        <v>9.0222071640015215E-3</v>
      </c>
      <c r="W87" s="2"/>
      <c r="X87" s="6">
        <f t="shared" si="50"/>
        <v>8704.5400000000009</v>
      </c>
      <c r="Y87" s="2"/>
      <c r="Z87" s="7">
        <f t="shared" si="51"/>
        <v>1.5346509167842033</v>
      </c>
    </row>
    <row r="88" spans="1:26" s="24" customFormat="1" hidden="1" outlineLevel="2" x14ac:dyDescent="0.3">
      <c r="A88" s="27"/>
      <c r="B88" s="11" t="str">
        <f>CONCATENATE("          ", "6254", " - ", "ROYALTY &amp; COMMISSIONS")</f>
        <v xml:space="preserve">          6254 - ROYALTY &amp; COMMISSIONS</v>
      </c>
      <c r="C88" s="11"/>
      <c r="D88" s="6"/>
      <c r="E88" s="2"/>
      <c r="F88" s="7">
        <f t="shared" si="44"/>
        <v>0</v>
      </c>
      <c r="G88" s="2"/>
      <c r="H88" s="6">
        <v>0</v>
      </c>
      <c r="I88" s="2"/>
      <c r="J88" s="7">
        <f t="shared" si="45"/>
        <v>0</v>
      </c>
      <c r="K88" s="2"/>
      <c r="L88" s="6">
        <f t="shared" si="46"/>
        <v>0</v>
      </c>
      <c r="M88" s="2"/>
      <c r="N88" s="7">
        <f t="shared" si="47"/>
        <v>0</v>
      </c>
      <c r="O88" s="11"/>
      <c r="P88" s="6">
        <v>-7027.5</v>
      </c>
      <c r="Q88" s="2"/>
      <c r="R88" s="7">
        <f t="shared" si="48"/>
        <v>-1.3522980523020972E-2</v>
      </c>
      <c r="S88" s="2"/>
      <c r="T88" s="6">
        <v>0</v>
      </c>
      <c r="U88" s="2"/>
      <c r="V88" s="7">
        <f t="shared" si="49"/>
        <v>0</v>
      </c>
      <c r="W88" s="2"/>
      <c r="X88" s="6">
        <f t="shared" si="50"/>
        <v>-7027.5</v>
      </c>
      <c r="Y88" s="2"/>
      <c r="Z88" s="7">
        <f t="shared" si="51"/>
        <v>0</v>
      </c>
    </row>
    <row r="89" spans="1:26" s="28" customFormat="1" outlineLevel="1" collapsed="1" x14ac:dyDescent="0.3">
      <c r="A89" s="29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1">
        <f>SUM(OSRRefD22_13x_0)</f>
        <v>0</v>
      </c>
      <c r="E89" s="1"/>
      <c r="F89" s="5">
        <f t="shared" ref="F89:F91" si="52">IF(D$12=0,0,D89/D$12)</f>
        <v>0</v>
      </c>
      <c r="G89" s="1"/>
      <c r="H89" s="1">
        <f>SUM(OSRRefH22_13x_0)</f>
        <v>0</v>
      </c>
      <c r="I89" s="1"/>
      <c r="J89" s="5">
        <f t="shared" ref="J89:J91" si="53">IF(H$12=0,0,H89/H$12)</f>
        <v>0</v>
      </c>
      <c r="K89" s="1"/>
      <c r="L89" s="1">
        <f t="shared" ref="L89:L91" si="54">+D89-H89</f>
        <v>0</v>
      </c>
      <c r="M89" s="1"/>
      <c r="N89" s="5">
        <f t="shared" ref="N89:N91" si="55">IF(H89=0,0,L89/H89)</f>
        <v>0</v>
      </c>
      <c r="O89" s="14"/>
      <c r="P89" s="1">
        <f>SUM(OSRRefP22_13x_0)</f>
        <v>0</v>
      </c>
      <c r="Q89" s="1"/>
      <c r="R89" s="5">
        <f t="shared" ref="R89:R91" si="56">IF(P$12=0,0,P89/P$12)</f>
        <v>0</v>
      </c>
      <c r="S89" s="1"/>
      <c r="T89" s="1">
        <f>SUM(OSRRefT22_13x_0)</f>
        <v>1000</v>
      </c>
      <c r="U89" s="1"/>
      <c r="V89" s="5">
        <f t="shared" ref="V89:V91" si="57">IF(T$12=0,0,T89/T$12)</f>
        <v>1.5906571163613399E-3</v>
      </c>
      <c r="W89" s="1"/>
      <c r="X89" s="1">
        <f t="shared" ref="X89:X91" si="58">+P89-T89</f>
        <v>-1000</v>
      </c>
      <c r="Y89" s="1"/>
      <c r="Z89" s="5">
        <f t="shared" ref="Z89:Z91" si="59">IF(T89=0,0,X89/T89)</f>
        <v>-1</v>
      </c>
    </row>
    <row r="90" spans="1:26" s="24" customFormat="1" hidden="1" outlineLevel="2" x14ac:dyDescent="0.3">
      <c r="A90" s="27"/>
      <c r="B90" s="11" t="str">
        <f>CONCATENATE("          ", "6258", " - ", "MEMBERSHIP DUES")</f>
        <v xml:space="preserve">          6258 - MEMBERSHIP DUES</v>
      </c>
      <c r="C90" s="11"/>
      <c r="D90" s="6"/>
      <c r="E90" s="2"/>
      <c r="F90" s="7">
        <f t="shared" si="52"/>
        <v>0</v>
      </c>
      <c r="G90" s="2"/>
      <c r="H90" s="6">
        <v>0</v>
      </c>
      <c r="I90" s="2"/>
      <c r="J90" s="7">
        <f t="shared" si="53"/>
        <v>0</v>
      </c>
      <c r="K90" s="2"/>
      <c r="L90" s="6">
        <f t="shared" si="54"/>
        <v>0</v>
      </c>
      <c r="M90" s="2"/>
      <c r="N90" s="7">
        <f t="shared" si="55"/>
        <v>0</v>
      </c>
      <c r="O90" s="11"/>
      <c r="P90" s="6"/>
      <c r="Q90" s="2"/>
      <c r="R90" s="7">
        <f t="shared" si="56"/>
        <v>0</v>
      </c>
      <c r="S90" s="2"/>
      <c r="T90" s="6">
        <v>1000</v>
      </c>
      <c r="U90" s="2"/>
      <c r="V90" s="7">
        <f t="shared" si="57"/>
        <v>1.5906571163613399E-3</v>
      </c>
      <c r="W90" s="2"/>
      <c r="X90" s="6">
        <f t="shared" si="58"/>
        <v>-1000</v>
      </c>
      <c r="Y90" s="2"/>
      <c r="Z90" s="7">
        <f t="shared" si="59"/>
        <v>-1</v>
      </c>
    </row>
    <row r="91" spans="1:26" s="24" customFormat="1" hidden="1" outlineLevel="2" x14ac:dyDescent="0.3">
      <c r="A91" s="27"/>
      <c r="B91" s="11" t="str">
        <f>CONCATENATE("          ", "6275", " - ", "SUBSCRIPTIONS")</f>
        <v xml:space="preserve">          6275 - SUBSCRIPTIONS</v>
      </c>
      <c r="C91" s="11"/>
      <c r="D91" s="6"/>
      <c r="E91" s="2"/>
      <c r="F91" s="7">
        <f t="shared" si="52"/>
        <v>0</v>
      </c>
      <c r="G91" s="2"/>
      <c r="H91" s="6">
        <v>0</v>
      </c>
      <c r="I91" s="2"/>
      <c r="J91" s="7">
        <f t="shared" si="53"/>
        <v>0</v>
      </c>
      <c r="K91" s="2"/>
      <c r="L91" s="6">
        <f t="shared" si="54"/>
        <v>0</v>
      </c>
      <c r="M91" s="2"/>
      <c r="N91" s="7">
        <f t="shared" si="55"/>
        <v>0</v>
      </c>
      <c r="O91" s="11"/>
      <c r="P91" s="6"/>
      <c r="Q91" s="2"/>
      <c r="R91" s="7">
        <f t="shared" si="56"/>
        <v>0</v>
      </c>
      <c r="S91" s="2"/>
      <c r="T91" s="6">
        <v>0</v>
      </c>
      <c r="U91" s="2"/>
      <c r="V91" s="7">
        <f t="shared" si="57"/>
        <v>0</v>
      </c>
      <c r="W91" s="2"/>
      <c r="X91" s="6">
        <f t="shared" si="58"/>
        <v>0</v>
      </c>
      <c r="Y91" s="2"/>
      <c r="Z91" s="7">
        <f t="shared" si="59"/>
        <v>0</v>
      </c>
    </row>
    <row r="92" spans="1:26" s="28" customFormat="1" outlineLevel="1" collapsed="1" x14ac:dyDescent="0.3">
      <c r="A92" s="29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SUM(OSRRefD22_14x_0)</f>
        <v>3030.73</v>
      </c>
      <c r="E92" s="1"/>
      <c r="F92" s="5">
        <f t="shared" ref="F92:F95" si="60">IF(D$12=0,0,D92/D$12)</f>
        <v>7.6605120726245847E-3</v>
      </c>
      <c r="G92" s="1"/>
      <c r="H92" s="1">
        <f>SUM(OSRRefH22_14x_0)</f>
        <v>75</v>
      </c>
      <c r="I92" s="1"/>
      <c r="J92" s="5">
        <f t="shared" ref="J92:J95" si="61">IF(H$12=0,0,H92/H$12)</f>
        <v>1.7849450593910719E-4</v>
      </c>
      <c r="K92" s="1"/>
      <c r="L92" s="1">
        <f t="shared" ref="L92:L95" si="62">+D92-H92</f>
        <v>2955.73</v>
      </c>
      <c r="M92" s="1"/>
      <c r="N92" s="5">
        <f t="shared" ref="N92:N95" si="63">IF(H92=0,0,L92/H92)</f>
        <v>39.409733333333335</v>
      </c>
      <c r="O92" s="14"/>
      <c r="P92" s="1">
        <f>SUM(OSRRefP22_14x_0)</f>
        <v>5381.74</v>
      </c>
      <c r="Q92" s="1"/>
      <c r="R92" s="5">
        <f t="shared" ref="R92:R95" si="64">IF(P$12=0,0,P92/P$12)</f>
        <v>1.0356053390247298E-2</v>
      </c>
      <c r="S92" s="1"/>
      <c r="T92" s="1">
        <f>SUM(OSRRefT22_14x_0)</f>
        <v>150</v>
      </c>
      <c r="U92" s="1"/>
      <c r="V92" s="5">
        <f t="shared" ref="V92:V95" si="65">IF(T$12=0,0,T92/T$12)</f>
        <v>2.38598567454201E-4</v>
      </c>
      <c r="W92" s="1"/>
      <c r="X92" s="1">
        <f t="shared" ref="X92:X95" si="66">+P92-T92</f>
        <v>5231.74</v>
      </c>
      <c r="Y92" s="1"/>
      <c r="Z92" s="5">
        <f t="shared" ref="Z92:Z95" si="67">IF(T92=0,0,X92/T92)</f>
        <v>34.878266666666669</v>
      </c>
    </row>
    <row r="93" spans="1:26" s="24" customFormat="1" hidden="1" outlineLevel="2" x14ac:dyDescent="0.3">
      <c r="A93" s="27"/>
      <c r="B93" s="11" t="str">
        <f>CONCATENATE("          ", "6235", " - ", "COVID-19 EXPENSES")</f>
        <v xml:space="preserve">          6235 - COVID-19 EXPENSES</v>
      </c>
      <c r="C93" s="11"/>
      <c r="D93" s="6"/>
      <c r="E93" s="2"/>
      <c r="F93" s="7">
        <f t="shared" si="60"/>
        <v>0</v>
      </c>
      <c r="G93" s="2"/>
      <c r="H93" s="6">
        <v>0</v>
      </c>
      <c r="I93" s="2"/>
      <c r="J93" s="7">
        <f t="shared" si="61"/>
        <v>0</v>
      </c>
      <c r="K93" s="2"/>
      <c r="L93" s="6">
        <f t="shared" si="62"/>
        <v>0</v>
      </c>
      <c r="M93" s="2"/>
      <c r="N93" s="7">
        <f t="shared" si="63"/>
        <v>0</v>
      </c>
      <c r="O93" s="11"/>
      <c r="P93" s="6"/>
      <c r="Q93" s="2"/>
      <c r="R93" s="7">
        <f t="shared" si="64"/>
        <v>0</v>
      </c>
      <c r="S93" s="2"/>
      <c r="T93" s="6">
        <v>0</v>
      </c>
      <c r="U93" s="2"/>
      <c r="V93" s="7">
        <f t="shared" si="65"/>
        <v>0</v>
      </c>
      <c r="W93" s="2"/>
      <c r="X93" s="6">
        <f t="shared" si="66"/>
        <v>0</v>
      </c>
      <c r="Y93" s="2"/>
      <c r="Z93" s="7">
        <f t="shared" si="67"/>
        <v>0</v>
      </c>
    </row>
    <row r="94" spans="1:26" s="24" customFormat="1" hidden="1" outlineLevel="2" x14ac:dyDescent="0.3">
      <c r="A94" s="27"/>
      <c r="B94" s="11" t="str">
        <f>CONCATENATE("          ", "6241", " - ", "OFFICE EXPENSE")</f>
        <v xml:space="preserve">          6241 - OFFICE EXPENSE</v>
      </c>
      <c r="C94" s="11"/>
      <c r="D94" s="6">
        <v>56.1</v>
      </c>
      <c r="E94" s="2"/>
      <c r="F94" s="7">
        <f t="shared" si="60"/>
        <v>1.4179908051005507E-4</v>
      </c>
      <c r="G94" s="2"/>
      <c r="H94" s="6">
        <v>25</v>
      </c>
      <c r="I94" s="2"/>
      <c r="J94" s="7">
        <f t="shared" si="61"/>
        <v>5.9498168646369065E-5</v>
      </c>
      <c r="K94" s="2"/>
      <c r="L94" s="6">
        <f t="shared" si="62"/>
        <v>31.1</v>
      </c>
      <c r="M94" s="2"/>
      <c r="N94" s="7">
        <f t="shared" si="63"/>
        <v>1.244</v>
      </c>
      <c r="O94" s="11"/>
      <c r="P94" s="6">
        <v>180.99</v>
      </c>
      <c r="Q94" s="2"/>
      <c r="R94" s="7">
        <f t="shared" si="64"/>
        <v>3.4827808535916986E-4</v>
      </c>
      <c r="S94" s="2"/>
      <c r="T94" s="6">
        <v>50</v>
      </c>
      <c r="U94" s="2"/>
      <c r="V94" s="7">
        <f t="shared" si="65"/>
        <v>7.9532855818067005E-5</v>
      </c>
      <c r="W94" s="2"/>
      <c r="X94" s="6">
        <f t="shared" si="66"/>
        <v>130.99</v>
      </c>
      <c r="Y94" s="2"/>
      <c r="Z94" s="7">
        <f t="shared" si="67"/>
        <v>2.6198000000000001</v>
      </c>
    </row>
    <row r="95" spans="1:26" s="24" customFormat="1" hidden="1" outlineLevel="2" x14ac:dyDescent="0.3">
      <c r="A95" s="27"/>
      <c r="B95" s="11" t="str">
        <f>CONCATENATE("          ", "6247", " - ", "STORE SUPPLIES")</f>
        <v xml:space="preserve">          6247 - STORE SUPPLIES</v>
      </c>
      <c r="C95" s="11"/>
      <c r="D95" s="6">
        <v>2974.63</v>
      </c>
      <c r="E95" s="2"/>
      <c r="F95" s="7">
        <f t="shared" si="60"/>
        <v>7.5187129921145306E-3</v>
      </c>
      <c r="G95" s="2"/>
      <c r="H95" s="6">
        <v>50</v>
      </c>
      <c r="I95" s="2"/>
      <c r="J95" s="7">
        <f t="shared" si="61"/>
        <v>1.1899633729273813E-4</v>
      </c>
      <c r="K95" s="2"/>
      <c r="L95" s="6">
        <f t="shared" si="62"/>
        <v>2924.63</v>
      </c>
      <c r="M95" s="2"/>
      <c r="N95" s="7">
        <f t="shared" si="63"/>
        <v>58.492600000000003</v>
      </c>
      <c r="O95" s="11"/>
      <c r="P95" s="6">
        <v>5200.75</v>
      </c>
      <c r="Q95" s="2"/>
      <c r="R95" s="7">
        <f t="shared" si="64"/>
        <v>1.0007775304888129E-2</v>
      </c>
      <c r="S95" s="2"/>
      <c r="T95" s="6">
        <v>100</v>
      </c>
      <c r="U95" s="2"/>
      <c r="V95" s="7">
        <f t="shared" si="65"/>
        <v>1.5906571163613401E-4</v>
      </c>
      <c r="W95" s="2"/>
      <c r="X95" s="6">
        <f t="shared" si="66"/>
        <v>5100.75</v>
      </c>
      <c r="Y95" s="2"/>
      <c r="Z95" s="7">
        <f t="shared" si="67"/>
        <v>51.0075</v>
      </c>
    </row>
    <row r="96" spans="1:26" s="28" customFormat="1" outlineLevel="1" collapsed="1" x14ac:dyDescent="0.3">
      <c r="A96" s="29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SUM(OSRRefD22_15x_0)</f>
        <v>254.45</v>
      </c>
      <c r="E96" s="1"/>
      <c r="F96" s="5">
        <f t="shared" ref="F96:F99" si="68">IF(D$12=0,0,D96/D$12)</f>
        <v>6.431510879818808E-4</v>
      </c>
      <c r="G96" s="1"/>
      <c r="H96" s="1">
        <f>SUM(OSRRefH22_15x_0)</f>
        <v>300</v>
      </c>
      <c r="I96" s="1"/>
      <c r="J96" s="5">
        <f t="shared" ref="J96:J99" si="69">IF(H$12=0,0,H96/H$12)</f>
        <v>7.1397802375642878E-4</v>
      </c>
      <c r="K96" s="1"/>
      <c r="L96" s="1">
        <f t="shared" ref="L96:L99" si="70">+D96-H96</f>
        <v>-45.550000000000011</v>
      </c>
      <c r="M96" s="1"/>
      <c r="N96" s="5">
        <f t="shared" ref="N96:N99" si="71">IF(H96=0,0,L96/H96)</f>
        <v>-0.15183333333333338</v>
      </c>
      <c r="O96" s="14"/>
      <c r="P96" s="1">
        <f>SUM(OSRRefP22_15x_0)</f>
        <v>128.5</v>
      </c>
      <c r="Q96" s="1"/>
      <c r="R96" s="5">
        <f t="shared" ref="R96:R99" si="72">IF(P$12=0,0,P96/P$12)</f>
        <v>2.4727186015057915E-4</v>
      </c>
      <c r="S96" s="1"/>
      <c r="T96" s="1">
        <f>SUM(OSRRefT22_15x_0)</f>
        <v>600</v>
      </c>
      <c r="U96" s="1"/>
      <c r="V96" s="5">
        <f t="shared" ref="V96:V99" si="73">IF(T$12=0,0,T96/T$12)</f>
        <v>9.54394269816804E-4</v>
      </c>
      <c r="W96" s="1"/>
      <c r="X96" s="1">
        <f t="shared" ref="X96:X99" si="74">+P96-T96</f>
        <v>-471.5</v>
      </c>
      <c r="Y96" s="1"/>
      <c r="Z96" s="5">
        <f t="shared" ref="Z96:Z99" si="75">IF(T96=0,0,X96/T96)</f>
        <v>-0.78583333333333338</v>
      </c>
    </row>
    <row r="97" spans="1:26" s="24" customFormat="1" hidden="1" outlineLevel="2" x14ac:dyDescent="0.3">
      <c r="A97" s="27"/>
      <c r="B97" s="11" t="str">
        <f>CONCATENATE("          ", "6309", " - ", "TELEPHONE")</f>
        <v xml:space="preserve">          6309 - TELEPHONE</v>
      </c>
      <c r="C97" s="11"/>
      <c r="D97" s="6">
        <v>254.45</v>
      </c>
      <c r="E97" s="2"/>
      <c r="F97" s="7">
        <f t="shared" si="68"/>
        <v>6.431510879818808E-4</v>
      </c>
      <c r="G97" s="2"/>
      <c r="H97" s="6">
        <v>300</v>
      </c>
      <c r="I97" s="2"/>
      <c r="J97" s="7">
        <f t="shared" si="69"/>
        <v>7.1397802375642878E-4</v>
      </c>
      <c r="K97" s="2"/>
      <c r="L97" s="6">
        <f t="shared" si="70"/>
        <v>-45.550000000000011</v>
      </c>
      <c r="M97" s="2"/>
      <c r="N97" s="7">
        <f t="shared" si="71"/>
        <v>-0.15183333333333338</v>
      </c>
      <c r="O97" s="11"/>
      <c r="P97" s="6">
        <v>128.5</v>
      </c>
      <c r="Q97" s="2"/>
      <c r="R97" s="7">
        <f t="shared" si="72"/>
        <v>2.4727186015057915E-4</v>
      </c>
      <c r="S97" s="2"/>
      <c r="T97" s="6">
        <v>600</v>
      </c>
      <c r="U97" s="2"/>
      <c r="V97" s="7">
        <f t="shared" si="73"/>
        <v>9.54394269816804E-4</v>
      </c>
      <c r="W97" s="2"/>
      <c r="X97" s="6">
        <f t="shared" si="74"/>
        <v>-471.5</v>
      </c>
      <c r="Y97" s="2"/>
      <c r="Z97" s="7">
        <f t="shared" si="75"/>
        <v>-0.78583333333333338</v>
      </c>
    </row>
    <row r="98" spans="1:26" s="28" customFormat="1" outlineLevel="1" collapsed="1" x14ac:dyDescent="0.3">
      <c r="A98" s="29"/>
      <c r="B98" s="14" t="str">
        <f>CONCATENATE("     ","Travel                                            ")</f>
        <v xml:space="preserve">     Travel                                            </v>
      </c>
      <c r="C98" s="14"/>
      <c r="D98" s="1">
        <f>SUM(OSRRefD22_16x_0)</f>
        <v>0</v>
      </c>
      <c r="E98" s="1"/>
      <c r="F98" s="5">
        <f t="shared" si="68"/>
        <v>0</v>
      </c>
      <c r="G98" s="1"/>
      <c r="H98" s="1">
        <f>SUM(OSRRefH22_16x_0)</f>
        <v>25</v>
      </c>
      <c r="I98" s="1"/>
      <c r="J98" s="5">
        <f t="shared" si="69"/>
        <v>5.9498168646369065E-5</v>
      </c>
      <c r="K98" s="1"/>
      <c r="L98" s="1">
        <f t="shared" si="70"/>
        <v>-25</v>
      </c>
      <c r="M98" s="1"/>
      <c r="N98" s="5">
        <f t="shared" si="71"/>
        <v>-1</v>
      </c>
      <c r="O98" s="14"/>
      <c r="P98" s="1">
        <f>SUM(OSRRefP22_16x_0)</f>
        <v>40.32</v>
      </c>
      <c r="Q98" s="1"/>
      <c r="R98" s="5">
        <f t="shared" si="72"/>
        <v>7.758755954296772E-5</v>
      </c>
      <c r="S98" s="1"/>
      <c r="T98" s="1">
        <f>SUM(OSRRefT22_16x_0)</f>
        <v>50</v>
      </c>
      <c r="U98" s="1"/>
      <c r="V98" s="5">
        <f t="shared" si="73"/>
        <v>7.9532855818067005E-5</v>
      </c>
      <c r="W98" s="1"/>
      <c r="X98" s="1">
        <f t="shared" si="74"/>
        <v>-9.68</v>
      </c>
      <c r="Y98" s="1"/>
      <c r="Z98" s="5">
        <f t="shared" si="75"/>
        <v>-0.19359999999999999</v>
      </c>
    </row>
    <row r="99" spans="1:26" s="24" customFormat="1" hidden="1" outlineLevel="2" x14ac:dyDescent="0.3">
      <c r="A99" s="27"/>
      <c r="B99" s="11" t="str">
        <f>CONCATENATE("          ", "6294", " - ", "TRAVEL OPERATIONAL")</f>
        <v xml:space="preserve">          6294 - TRAVEL OPERATIONAL</v>
      </c>
      <c r="C99" s="11"/>
      <c r="D99" s="6"/>
      <c r="E99" s="2"/>
      <c r="F99" s="7">
        <f t="shared" si="68"/>
        <v>0</v>
      </c>
      <c r="G99" s="2"/>
      <c r="H99" s="6">
        <v>25</v>
      </c>
      <c r="I99" s="2"/>
      <c r="J99" s="7">
        <f t="shared" si="69"/>
        <v>5.9498168646369065E-5</v>
      </c>
      <c r="K99" s="2"/>
      <c r="L99" s="6">
        <f t="shared" si="70"/>
        <v>-25</v>
      </c>
      <c r="M99" s="2"/>
      <c r="N99" s="7">
        <f t="shared" si="71"/>
        <v>-1</v>
      </c>
      <c r="O99" s="11"/>
      <c r="P99" s="6">
        <v>40.32</v>
      </c>
      <c r="Q99" s="2"/>
      <c r="R99" s="7">
        <f t="shared" si="72"/>
        <v>7.758755954296772E-5</v>
      </c>
      <c r="S99" s="2"/>
      <c r="T99" s="6">
        <v>50</v>
      </c>
      <c r="U99" s="2"/>
      <c r="V99" s="7">
        <f t="shared" si="73"/>
        <v>7.9532855818067005E-5</v>
      </c>
      <c r="W99" s="2"/>
      <c r="X99" s="6">
        <f t="shared" si="74"/>
        <v>-9.68</v>
      </c>
      <c r="Y99" s="2"/>
      <c r="Z99" s="7">
        <f t="shared" si="75"/>
        <v>-0.19359999999999999</v>
      </c>
    </row>
    <row r="100" spans="1:26" s="53" customFormat="1" x14ac:dyDescent="0.3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3">
      <c r="A101" s="10"/>
      <c r="B101" s="25" t="s">
        <v>293</v>
      </c>
      <c r="C101" s="10"/>
      <c r="D101" s="4">
        <f>SUM(OSRRefD25x_0)</f>
        <v>56991</v>
      </c>
      <c r="E101" s="4"/>
      <c r="F101" s="12">
        <f t="shared" ref="F101:F104" si="76">IF(D$12=0,0,D101/D$12)</f>
        <v>0.14405118355345006</v>
      </c>
      <c r="G101" s="4"/>
      <c r="H101" s="4">
        <f>SUM(OSRRefH25x_0)</f>
        <v>0</v>
      </c>
      <c r="I101" s="4"/>
      <c r="J101" s="12">
        <f t="shared" ref="J101:J104" si="77">IF(H$12=0,0,H101/H$12)</f>
        <v>0</v>
      </c>
      <c r="K101" s="4"/>
      <c r="L101" s="4">
        <f t="shared" ref="L101:L104" si="78">+D101-H101</f>
        <v>56991</v>
      </c>
      <c r="M101" s="4"/>
      <c r="N101" s="12">
        <f t="shared" ref="N101:N104" si="79">IF(H101=0,0,L101/H101)</f>
        <v>0</v>
      </c>
      <c r="O101" s="10"/>
      <c r="P101" s="4">
        <f>SUM(OSRRefP25x_0)</f>
        <v>92073.02</v>
      </c>
      <c r="Q101" s="4"/>
      <c r="R101" s="12">
        <f t="shared" ref="R101:R104" si="80">IF(P$12=0,0,P101/P$12)</f>
        <v>0.1771756180940193</v>
      </c>
      <c r="S101" s="4"/>
      <c r="T101" s="4">
        <f>SUM(OSRRefT25x_0)</f>
        <v>11344</v>
      </c>
      <c r="U101" s="4"/>
      <c r="V101" s="12">
        <f t="shared" ref="V101:V104" si="81">IF(T$12=0,0,T101/T$12)</f>
        <v>1.8044414328003043E-2</v>
      </c>
      <c r="W101" s="4"/>
      <c r="X101" s="4">
        <f t="shared" ref="X101:X104" si="82">+P101-T101</f>
        <v>80729.02</v>
      </c>
      <c r="Y101" s="4"/>
      <c r="Z101" s="12">
        <f t="shared" ref="Z101:Z104" si="83">IF(T101=0,0,X101/T101)</f>
        <v>7.1164509873060648</v>
      </c>
    </row>
    <row r="102" spans="1:26" s="24" customFormat="1" hidden="1" outlineLevel="1" x14ac:dyDescent="0.3">
      <c r="A102" s="44"/>
      <c r="B102" s="11" t="str">
        <f>CONCATENATE("          ", "9150", " - ", "MISC. INCOME")</f>
        <v xml:space="preserve">          9150 - MISC. INCOME</v>
      </c>
      <c r="C102" s="11"/>
      <c r="D102" s="2">
        <f t="shared" ref="D102:D103" si="84">0</f>
        <v>0</v>
      </c>
      <c r="E102" s="2"/>
      <c r="F102" s="19">
        <f t="shared" si="76"/>
        <v>0</v>
      </c>
      <c r="G102" s="2"/>
      <c r="H102" s="2">
        <v>0</v>
      </c>
      <c r="I102" s="2"/>
      <c r="J102" s="19">
        <f t="shared" si="77"/>
        <v>0</v>
      </c>
      <c r="K102" s="2"/>
      <c r="L102" s="2">
        <f t="shared" si="78"/>
        <v>0</v>
      </c>
      <c r="M102" s="2"/>
      <c r="N102" s="19">
        <f t="shared" si="79"/>
        <v>0</v>
      </c>
      <c r="O102" s="11"/>
      <c r="P102" s="2">
        <f>--28753.08</f>
        <v>28753.08</v>
      </c>
      <c r="Q102" s="2"/>
      <c r="R102" s="19">
        <f t="shared" si="80"/>
        <v>5.5329397483723078E-2</v>
      </c>
      <c r="S102" s="2"/>
      <c r="T102" s="2">
        <v>11344</v>
      </c>
      <c r="U102" s="2"/>
      <c r="V102" s="19">
        <f t="shared" si="81"/>
        <v>1.8044414328003043E-2</v>
      </c>
      <c r="W102" s="2"/>
      <c r="X102" s="2">
        <f t="shared" si="82"/>
        <v>17409.080000000002</v>
      </c>
      <c r="Y102" s="2"/>
      <c r="Z102" s="19">
        <f t="shared" si="83"/>
        <v>1.5346509167842033</v>
      </c>
    </row>
    <row r="103" spans="1:26" s="24" customFormat="1" hidden="1" outlineLevel="1" x14ac:dyDescent="0.3">
      <c r="A103" s="44"/>
      <c r="B103" s="11" t="str">
        <f>CONCATENATE("          ", "9160", " - ", "MISC. INCOME")</f>
        <v xml:space="preserve">          9160 - MISC. INCOME</v>
      </c>
      <c r="C103" s="11"/>
      <c r="D103" s="2">
        <f t="shared" si="84"/>
        <v>0</v>
      </c>
      <c r="E103" s="2"/>
      <c r="F103" s="19">
        <f t="shared" si="76"/>
        <v>0</v>
      </c>
      <c r="G103" s="2"/>
      <c r="H103" s="2"/>
      <c r="I103" s="2"/>
      <c r="J103" s="19">
        <f t="shared" si="77"/>
        <v>0</v>
      </c>
      <c r="K103" s="2"/>
      <c r="L103" s="2">
        <f t="shared" si="78"/>
        <v>0</v>
      </c>
      <c r="M103" s="2"/>
      <c r="N103" s="19">
        <f t="shared" si="79"/>
        <v>0</v>
      </c>
      <c r="O103" s="11"/>
      <c r="P103" s="2">
        <f>0</f>
        <v>0</v>
      </c>
      <c r="Q103" s="2"/>
      <c r="R103" s="19">
        <f t="shared" si="80"/>
        <v>0</v>
      </c>
      <c r="S103" s="2"/>
      <c r="T103" s="2">
        <v>0</v>
      </c>
      <c r="U103" s="2"/>
      <c r="V103" s="19">
        <f t="shared" si="81"/>
        <v>0</v>
      </c>
      <c r="W103" s="2"/>
      <c r="X103" s="2">
        <f t="shared" si="82"/>
        <v>0</v>
      </c>
      <c r="Y103" s="2"/>
      <c r="Z103" s="19">
        <f t="shared" si="83"/>
        <v>0</v>
      </c>
    </row>
    <row r="104" spans="1:26" s="24" customFormat="1" hidden="1" outlineLevel="1" x14ac:dyDescent="0.3">
      <c r="A104" s="44"/>
      <c r="B104" s="11" t="str">
        <f>CONCATENATE("          ", "9163", " - ", "MISC. INCOME")</f>
        <v xml:space="preserve">          9163 - MISC. INCOME</v>
      </c>
      <c r="C104" s="11"/>
      <c r="D104" s="2">
        <f>--56991</f>
        <v>56991</v>
      </c>
      <c r="E104" s="2"/>
      <c r="F104" s="19">
        <f t="shared" si="76"/>
        <v>0.14405118355345006</v>
      </c>
      <c r="G104" s="2"/>
      <c r="H104" s="2"/>
      <c r="I104" s="2"/>
      <c r="J104" s="19">
        <f t="shared" si="77"/>
        <v>0</v>
      </c>
      <c r="K104" s="2"/>
      <c r="L104" s="2">
        <f t="shared" si="78"/>
        <v>56991</v>
      </c>
      <c r="M104" s="2"/>
      <c r="N104" s="19">
        <f t="shared" si="79"/>
        <v>0</v>
      </c>
      <c r="O104" s="11"/>
      <c r="P104" s="2">
        <f>--63319.94</f>
        <v>63319.94</v>
      </c>
      <c r="Q104" s="2"/>
      <c r="R104" s="19">
        <f t="shared" si="80"/>
        <v>0.12184622061029622</v>
      </c>
      <c r="S104" s="2"/>
      <c r="T104" s="2"/>
      <c r="U104" s="2"/>
      <c r="V104" s="19">
        <f t="shared" si="81"/>
        <v>0</v>
      </c>
      <c r="W104" s="2"/>
      <c r="X104" s="2">
        <f t="shared" si="82"/>
        <v>63319.94</v>
      </c>
      <c r="Y104" s="2"/>
      <c r="Z104" s="19">
        <f t="shared" si="83"/>
        <v>0</v>
      </c>
    </row>
    <row r="105" spans="1:26" x14ac:dyDescent="0.3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3">
      <c r="A106" s="10"/>
      <c r="B106" s="26" t="s">
        <v>277</v>
      </c>
      <c r="C106" s="26"/>
      <c r="D106" s="21">
        <f>+D39-D41+D101</f>
        <v>206615.71</v>
      </c>
      <c r="E106" s="13"/>
      <c r="F106" s="20">
        <f>IF(D$12=0,0,D106/D$12)</f>
        <v>0.52224452222695528</v>
      </c>
      <c r="G106" s="13"/>
      <c r="H106" s="21">
        <f>+H39-H41+H101</f>
        <v>123800.35829807693</v>
      </c>
      <c r="I106" s="13"/>
      <c r="J106" s="20">
        <f>IF(H$12=0,0,H106/H$12)</f>
        <v>0.29463578385999589</v>
      </c>
      <c r="K106" s="16"/>
      <c r="L106" s="21">
        <f>+D106-H106</f>
        <v>82815.351701923064</v>
      </c>
      <c r="M106" s="16"/>
      <c r="N106" s="20">
        <f>IF(H106=0,0,L106/H106)</f>
        <v>0.66894274653492247</v>
      </c>
      <c r="O106" s="25"/>
      <c r="P106" s="21">
        <f>+P39-P41+P101</f>
        <v>219710.08999999991</v>
      </c>
      <c r="Q106" s="13"/>
      <c r="R106" s="20">
        <f>IF(P$12=0,0,P106/P$12)</f>
        <v>0.42278694667821898</v>
      </c>
      <c r="S106" s="13"/>
      <c r="T106" s="21">
        <f>+T39-T41+T101</f>
        <v>119739.68117067311</v>
      </c>
      <c r="U106" s="13"/>
      <c r="V106" s="20">
        <f>IF(T$12=0,0,T106/T$12)</f>
        <v>0.19046477596496914</v>
      </c>
      <c r="W106" s="16"/>
      <c r="X106" s="21">
        <f>+P106-T106</f>
        <v>99970.4088293268</v>
      </c>
      <c r="Y106" s="16"/>
      <c r="Z106" s="20">
        <f>IF(T106=0,0,X106/T106)</f>
        <v>0.83489790395242647</v>
      </c>
    </row>
    <row r="107" spans="1:26" x14ac:dyDescent="0.3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3">
      <c r="A108" s="52"/>
      <c r="B108" s="10" t="s">
        <v>128</v>
      </c>
      <c r="C108" s="10"/>
      <c r="D108" s="4">
        <v>20349.7</v>
      </c>
      <c r="E108" s="4"/>
      <c r="F108" s="12">
        <f>IF(D$12=0,0,D108/D$12)</f>
        <v>5.1436163077637577E-2</v>
      </c>
      <c r="G108" s="4"/>
      <c r="H108" s="4">
        <v>-5097</v>
      </c>
      <c r="I108" s="4"/>
      <c r="J108" s="12">
        <f>IF(H$12=0,0,H108/H$12)</f>
        <v>-1.2130486623621725E-2</v>
      </c>
      <c r="K108" s="4"/>
      <c r="L108" s="4">
        <f>+D108-H108</f>
        <v>25446.7</v>
      </c>
      <c r="M108" s="4"/>
      <c r="N108" s="12">
        <f>IF(H108=0,0,L108/H108)</f>
        <v>-4.9924857759466352</v>
      </c>
      <c r="O108" s="10"/>
      <c r="P108" s="4">
        <v>77656.009999999995</v>
      </c>
      <c r="Q108" s="4"/>
      <c r="R108" s="12">
        <f>IF(P$12=0,0,P108/P$12)</f>
        <v>0.14943304314842004</v>
      </c>
      <c r="S108" s="4"/>
      <c r="T108" s="4">
        <v>70408</v>
      </c>
      <c r="U108" s="4"/>
      <c r="V108" s="12">
        <f>IF(T$12=0,0,T108/T$12)</f>
        <v>0.11199498624876923</v>
      </c>
      <c r="W108" s="4"/>
      <c r="X108" s="4">
        <f>+P108-T108</f>
        <v>7248.0099999999948</v>
      </c>
      <c r="Y108" s="4"/>
      <c r="Z108" s="12">
        <f>IF(T108=0,0,X108/T108)</f>
        <v>0.1029429894330189</v>
      </c>
    </row>
    <row r="109" spans="1:26" x14ac:dyDescent="0.3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" thickBot="1" x14ac:dyDescent="0.35">
      <c r="A110" s="10"/>
      <c r="B110" s="26" t="s">
        <v>126</v>
      </c>
      <c r="C110" s="26"/>
      <c r="D110" s="30">
        <f>+D106-D108</f>
        <v>186266.00999999998</v>
      </c>
      <c r="E110" s="13"/>
      <c r="F110" s="35">
        <f>IF(D$12=0,0,D110/D$12)</f>
        <v>0.47080835914931768</v>
      </c>
      <c r="G110" s="13"/>
      <c r="H110" s="30">
        <f>+H106-H108</f>
        <v>128897.35829807693</v>
      </c>
      <c r="I110" s="13"/>
      <c r="J110" s="35">
        <f>IF(H$12=0,0,H110/H$12)</f>
        <v>0.3067662704836176</v>
      </c>
      <c r="K110" s="16"/>
      <c r="L110" s="30">
        <f>D110-H110</f>
        <v>57368.651701923052</v>
      </c>
      <c r="M110" s="16"/>
      <c r="N110" s="35">
        <f>IF(H110=0,0,L110/H110)</f>
        <v>0.44507236191184968</v>
      </c>
      <c r="O110" s="25"/>
      <c r="P110" s="30">
        <f>+P106-P108</f>
        <v>142054.0799999999</v>
      </c>
      <c r="Q110" s="13"/>
      <c r="R110" s="35">
        <f>IF(P$12=0,0,P110/P$12)</f>
        <v>0.27335390352979888</v>
      </c>
      <c r="S110" s="13"/>
      <c r="T110" s="30">
        <f>+T106-T108</f>
        <v>49331.68117067311</v>
      </c>
      <c r="U110" s="13"/>
      <c r="V110" s="35">
        <f>IF(T$12=0,0,T110/T$12)</f>
        <v>7.8469789716199903E-2</v>
      </c>
      <c r="W110" s="16"/>
      <c r="X110" s="30">
        <f>P110-T110</f>
        <v>92722.39882932679</v>
      </c>
      <c r="Y110" s="16"/>
      <c r="Z110" s="35">
        <f>IF(T110=0,0,X110/T110)</f>
        <v>1.8795710308054283</v>
      </c>
    </row>
    <row r="111" spans="1:26" ht="15" thickTop="1" x14ac:dyDescent="0.3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3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" thickBot="1" x14ac:dyDescent="0.35">
      <c r="A113" s="10"/>
      <c r="B113" s="26" t="s">
        <v>294</v>
      </c>
      <c r="C113" s="26"/>
      <c r="D113" s="32">
        <f>SUM(D110:D112)</f>
        <v>186266.00999999998</v>
      </c>
      <c r="E113" s="13"/>
      <c r="F113" s="34">
        <f>IF(D$12=0,0,D113/D$12)</f>
        <v>0.47080835914931768</v>
      </c>
      <c r="G113" s="13"/>
      <c r="H113" s="32">
        <f>SUM(H110:H112)</f>
        <v>128897.35829807693</v>
      </c>
      <c r="I113" s="13"/>
      <c r="J113" s="34">
        <f>IF(H$12=0,0,H113/H$12)</f>
        <v>0.3067662704836176</v>
      </c>
      <c r="K113" s="16"/>
      <c r="L113" s="32">
        <f>+D113-H113</f>
        <v>57368.651701923052</v>
      </c>
      <c r="M113" s="16"/>
      <c r="N113" s="34">
        <f>IF(H113=0,0,L113/H113)</f>
        <v>0.44507236191184968</v>
      </c>
      <c r="O113" s="25"/>
      <c r="P113" s="32">
        <f>SUM(P110:P112)</f>
        <v>142054.0799999999</v>
      </c>
      <c r="Q113" s="13"/>
      <c r="R113" s="34">
        <f>IF(P$12=0,0,P113/P$12)</f>
        <v>0.27335390352979888</v>
      </c>
      <c r="S113" s="13"/>
      <c r="T113" s="32">
        <f>SUM(T110:T112)</f>
        <v>49331.68117067311</v>
      </c>
      <c r="U113" s="13"/>
      <c r="V113" s="34">
        <f>IF(T$12=0,0,T113/T$12)</f>
        <v>7.8469789716199903E-2</v>
      </c>
      <c r="W113" s="16"/>
      <c r="X113" s="32">
        <f>+P113-T113</f>
        <v>92722.39882932679</v>
      </c>
      <c r="Y113" s="16"/>
      <c r="Z113" s="34">
        <f>IF(T113=0,0,X113/T113)</f>
        <v>1.8795710308054283</v>
      </c>
    </row>
    <row r="114" spans="1:26" ht="15" thickTop="1" x14ac:dyDescent="0.3">
      <c r="A114" s="9"/>
      <c r="C114" s="9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6" x14ac:dyDescent="0.3">
      <c r="A115" s="9"/>
      <c r="B115" s="61">
        <v>44470.835499687499</v>
      </c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3">
      <c r="A116" s="9"/>
      <c r="B116" s="58" t="s">
        <v>56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3">
      <c r="A117" s="9"/>
      <c r="B117" s="55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3"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","326", " - ", "2nd Street Store")</f>
        <v>Department 326 - 2nd Street 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35035.19</v>
      </c>
      <c r="E12" s="4"/>
      <c r="F12" s="12"/>
      <c r="G12" s="4"/>
      <c r="H12" s="4">
        <f>SUM(OSRRefH13x_0)</f>
        <v>26580</v>
      </c>
      <c r="I12" s="4"/>
      <c r="J12" s="12"/>
      <c r="K12" s="4"/>
      <c r="L12" s="4">
        <f t="shared" ref="L12:L15" si="0">+D12-H12</f>
        <v>8455.1900000000023</v>
      </c>
      <c r="M12" s="4"/>
      <c r="N12" s="12">
        <f t="shared" ref="N12:N15" si="1">IF(H12=0,0,L12/H12)</f>
        <v>0.31810346124905953</v>
      </c>
      <c r="O12" s="10"/>
      <c r="P12" s="4">
        <f>SUM(OSRRefP13x_0)</f>
        <v>66846.06</v>
      </c>
      <c r="Q12" s="4"/>
      <c r="R12" s="12"/>
      <c r="S12" s="4"/>
      <c r="T12" s="4">
        <f>SUM(OSRRefT13x_0)</f>
        <v>57697</v>
      </c>
      <c r="U12" s="4"/>
      <c r="V12" s="12"/>
      <c r="W12" s="4"/>
      <c r="X12" s="4">
        <f t="shared" ref="X12:X15" si="2">+P12-T12</f>
        <v>9149.0599999999977</v>
      </c>
      <c r="Y12" s="4"/>
      <c r="Z12" s="12">
        <f t="shared" ref="Z12:Z15" si="3">IF(T12=0,0,X12/T12)</f>
        <v>0.15857080957415459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--36008.12</f>
        <v>36008.120000000003</v>
      </c>
      <c r="E13" s="2"/>
      <c r="F13" s="19"/>
      <c r="G13" s="2"/>
      <c r="H13" s="2">
        <v>26580</v>
      </c>
      <c r="I13" s="2"/>
      <c r="J13" s="19"/>
      <c r="K13" s="2"/>
      <c r="L13" s="2">
        <f t="shared" si="0"/>
        <v>9428.1200000000026</v>
      </c>
      <c r="M13" s="2"/>
      <c r="N13" s="19">
        <f t="shared" si="1"/>
        <v>0.35470729872084283</v>
      </c>
      <c r="O13" s="11"/>
      <c r="P13" s="2">
        <f>--68814.8</f>
        <v>68814.8</v>
      </c>
      <c r="Q13" s="2"/>
      <c r="R13" s="19"/>
      <c r="S13" s="2"/>
      <c r="T13" s="2">
        <v>57697</v>
      </c>
      <c r="U13" s="2"/>
      <c r="V13" s="19"/>
      <c r="W13" s="2"/>
      <c r="X13" s="2">
        <f t="shared" si="2"/>
        <v>11117.800000000003</v>
      </c>
      <c r="Y13" s="2"/>
      <c r="Z13" s="19">
        <f t="shared" si="3"/>
        <v>0.19269286098064028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--1.5</f>
        <v>1.5</v>
      </c>
      <c r="E14" s="2"/>
      <c r="F14" s="19"/>
      <c r="G14" s="2"/>
      <c r="H14" s="2"/>
      <c r="I14" s="2"/>
      <c r="J14" s="19"/>
      <c r="K14" s="2"/>
      <c r="L14" s="2">
        <f t="shared" si="0"/>
        <v>1.5</v>
      </c>
      <c r="M14" s="2"/>
      <c r="N14" s="19">
        <f t="shared" si="1"/>
        <v>0</v>
      </c>
      <c r="O14" s="11"/>
      <c r="P14" s="2">
        <f>--19.5</f>
        <v>19.5</v>
      </c>
      <c r="Q14" s="2"/>
      <c r="R14" s="19"/>
      <c r="S14" s="2"/>
      <c r="T14" s="2"/>
      <c r="U14" s="2"/>
      <c r="V14" s="19"/>
      <c r="W14" s="2"/>
      <c r="X14" s="2">
        <f t="shared" si="2"/>
        <v>19.5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-974.43</f>
        <v>-974.43</v>
      </c>
      <c r="E15" s="2"/>
      <c r="F15" s="19"/>
      <c r="G15" s="2"/>
      <c r="H15" s="2"/>
      <c r="I15" s="2"/>
      <c r="J15" s="19"/>
      <c r="K15" s="2"/>
      <c r="L15" s="2">
        <f t="shared" si="0"/>
        <v>-974.43</v>
      </c>
      <c r="M15" s="2"/>
      <c r="N15" s="19">
        <f t="shared" si="1"/>
        <v>0</v>
      </c>
      <c r="O15" s="11"/>
      <c r="P15" s="2">
        <f>-1988.24</f>
        <v>-1988.24</v>
      </c>
      <c r="Q15" s="2"/>
      <c r="R15" s="19"/>
      <c r="S15" s="2"/>
      <c r="T15" s="2"/>
      <c r="U15" s="2"/>
      <c r="V15" s="19"/>
      <c r="W15" s="2"/>
      <c r="X15" s="2">
        <f t="shared" si="2"/>
        <v>-1988.24</v>
      </c>
      <c r="Y15" s="2"/>
      <c r="Z15" s="19">
        <f t="shared" si="3"/>
        <v>0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16630.45</v>
      </c>
      <c r="E17" s="4"/>
      <c r="F17" s="12">
        <f t="shared" ref="F17:F19" si="4">IF(D$12=0,0,D17/D$12)</f>
        <v>0.4746784590007932</v>
      </c>
      <c r="G17" s="4"/>
      <c r="H17" s="4">
        <f>SUM(OSRRefH16x_0)</f>
        <v>11961</v>
      </c>
      <c r="I17" s="4"/>
      <c r="J17" s="12">
        <f t="shared" ref="J17:J19" si="5">IF(H$12=0,0,H17/H$12)</f>
        <v>0.45</v>
      </c>
      <c r="K17" s="4"/>
      <c r="L17" s="4">
        <f t="shared" ref="L17:L19" si="6">+D17-H17</f>
        <v>4669.4500000000007</v>
      </c>
      <c r="M17" s="4"/>
      <c r="N17" s="12">
        <f t="shared" ref="N17:N19" si="7">IF(H17=0,0,L17/H17)</f>
        <v>0.39038959953181179</v>
      </c>
      <c r="O17" s="10"/>
      <c r="P17" s="4">
        <f>SUM(OSRRefP16x_0)</f>
        <v>32612.78</v>
      </c>
      <c r="Q17" s="4"/>
      <c r="R17" s="12">
        <f t="shared" ref="R17:R19" si="8">IF(P$12=0,0,P17/P$12)</f>
        <v>0.48787886675744241</v>
      </c>
      <c r="S17" s="4"/>
      <c r="T17" s="4">
        <f>SUM(OSRRefT16x_0)</f>
        <v>25964</v>
      </c>
      <c r="U17" s="4"/>
      <c r="V17" s="12">
        <f t="shared" ref="V17:V19" si="9">IF(T$12=0,0,T17/T$12)</f>
        <v>0.45000606617328459</v>
      </c>
      <c r="W17" s="4"/>
      <c r="X17" s="4">
        <f t="shared" ref="X17:X19" si="10">+P17-T17</f>
        <v>6648.7799999999988</v>
      </c>
      <c r="Y17" s="4"/>
      <c r="Z17" s="12">
        <f t="shared" ref="Z17:Z19" si="11">IF(T17=0,0,X17/T17)</f>
        <v>0.25607687567401011</v>
      </c>
    </row>
    <row r="18" spans="1:26" s="24" customFormat="1" hidden="1" outlineLevel="1" x14ac:dyDescent="0.3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11961</v>
      </c>
      <c r="I18" s="2"/>
      <c r="J18" s="19">
        <f t="shared" si="5"/>
        <v>0.45</v>
      </c>
      <c r="K18" s="2"/>
      <c r="L18" s="2">
        <f t="shared" si="6"/>
        <v>-11961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25964</v>
      </c>
      <c r="U18" s="2"/>
      <c r="V18" s="19">
        <f t="shared" si="9"/>
        <v>0.45000606617328459</v>
      </c>
      <c r="W18" s="2"/>
      <c r="X18" s="2">
        <f t="shared" si="10"/>
        <v>-25964</v>
      </c>
      <c r="Y18" s="2"/>
      <c r="Z18" s="19">
        <f t="shared" si="11"/>
        <v>-1</v>
      </c>
    </row>
    <row r="19" spans="1:26" s="24" customFormat="1" hidden="1" outlineLevel="1" x14ac:dyDescent="0.3">
      <c r="A19" s="44"/>
      <c r="B19" s="11" t="str">
        <f>CONCATENATE("          ", "5300", " - ", "COG$ OFFSET")</f>
        <v xml:space="preserve">          5300 - COG$ OFFSET</v>
      </c>
      <c r="C19" s="11"/>
      <c r="D19" s="2">
        <v>16630.45</v>
      </c>
      <c r="E19" s="2"/>
      <c r="F19" s="19">
        <f t="shared" si="4"/>
        <v>0.4746784590007932</v>
      </c>
      <c r="G19" s="2"/>
      <c r="H19" s="2"/>
      <c r="I19" s="2"/>
      <c r="J19" s="19">
        <f t="shared" si="5"/>
        <v>0</v>
      </c>
      <c r="K19" s="2"/>
      <c r="L19" s="2">
        <f t="shared" si="6"/>
        <v>16630.45</v>
      </c>
      <c r="M19" s="2"/>
      <c r="N19" s="19">
        <f t="shared" si="7"/>
        <v>0</v>
      </c>
      <c r="O19" s="11"/>
      <c r="P19" s="2">
        <v>32612.78</v>
      </c>
      <c r="Q19" s="2"/>
      <c r="R19" s="19">
        <f t="shared" si="8"/>
        <v>0.48787886675744241</v>
      </c>
      <c r="S19" s="2"/>
      <c r="T19" s="2"/>
      <c r="U19" s="2"/>
      <c r="V19" s="19">
        <f t="shared" si="9"/>
        <v>0</v>
      </c>
      <c r="W19" s="2"/>
      <c r="X19" s="2">
        <f t="shared" si="10"/>
        <v>32612.78</v>
      </c>
      <c r="Y19" s="2"/>
      <c r="Z19" s="19">
        <f t="shared" si="11"/>
        <v>0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6" t="s">
        <v>108</v>
      </c>
      <c r="C21" s="26"/>
      <c r="D21" s="21">
        <f>D12-D17</f>
        <v>18404.740000000002</v>
      </c>
      <c r="E21" s="13"/>
      <c r="F21" s="20">
        <f>IF(D$12=0,0,D21/D$12)</f>
        <v>0.5253215409992068</v>
      </c>
      <c r="G21" s="13"/>
      <c r="H21" s="21">
        <f>H12-H17</f>
        <v>14619</v>
      </c>
      <c r="I21" s="13"/>
      <c r="J21" s="20">
        <f>IF(H$12=0,0,H21/H$12)</f>
        <v>0.55000000000000004</v>
      </c>
      <c r="K21" s="16"/>
      <c r="L21" s="21">
        <f>+D21-H21</f>
        <v>3785.7400000000016</v>
      </c>
      <c r="M21" s="16"/>
      <c r="N21" s="20">
        <f>IF(H21=0,0,L21/H21)</f>
        <v>0.25896025719953497</v>
      </c>
      <c r="O21" s="25"/>
      <c r="P21" s="21">
        <f>P12-P17</f>
        <v>34233.279999999999</v>
      </c>
      <c r="Q21" s="13"/>
      <c r="R21" s="20">
        <f>IF(P$12=0,0,P21/P$12)</f>
        <v>0.51212113324255759</v>
      </c>
      <c r="S21" s="13"/>
      <c r="T21" s="21">
        <f>T12-T17</f>
        <v>31733</v>
      </c>
      <c r="U21" s="13"/>
      <c r="V21" s="20">
        <f>IF(T$12=0,0,T21/T$12)</f>
        <v>0.54999393382671546</v>
      </c>
      <c r="W21" s="16"/>
      <c r="X21" s="21">
        <f>+P21-T21</f>
        <v>2500.2799999999988</v>
      </c>
      <c r="Y21" s="16"/>
      <c r="Z21" s="20">
        <f>IF(T21=0,0,X21/T21)</f>
        <v>7.879116377272867E-2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295</v>
      </c>
      <c r="C23" s="10"/>
      <c r="D23" s="22">
        <f>SUM(OSRRefD22x_0)</f>
        <v>16384.27</v>
      </c>
      <c r="E23" s="22"/>
      <c r="F23" s="31">
        <f t="shared" ref="F23:F33" si="12">IF(D$12=0,0,D23/D$12)</f>
        <v>0.46765180950923912</v>
      </c>
      <c r="G23" s="22"/>
      <c r="H23" s="22">
        <f>SUM(OSRRefH22x_0)</f>
        <v>20206.753005769227</v>
      </c>
      <c r="I23" s="22"/>
      <c r="J23" s="31">
        <f t="shared" ref="J23:J33" si="13">IF(H$12=0,0,H23/H$12)</f>
        <v>0.76022396560456085</v>
      </c>
      <c r="K23" s="4"/>
      <c r="L23" s="22">
        <f t="shared" ref="L23:L33" si="14">+D23-H23</f>
        <v>-3822.483005769227</v>
      </c>
      <c r="M23" s="4"/>
      <c r="N23" s="31">
        <f t="shared" ref="N23:N33" si="15">IF(H23=0,0,L23/H23)</f>
        <v>-0.18916859154352361</v>
      </c>
      <c r="O23" s="10"/>
      <c r="P23" s="22">
        <f>SUM(OSRRefP22x_0)</f>
        <v>33286.049999999996</v>
      </c>
      <c r="Q23" s="22"/>
      <c r="R23" s="31">
        <f t="shared" ref="R23:R33" si="16">IF(P$12=0,0,P23/P$12)</f>
        <v>0.49795081415419246</v>
      </c>
      <c r="S23" s="22"/>
      <c r="T23" s="22">
        <f>SUM(OSRRefT22x_0)</f>
        <v>44531.069262980775</v>
      </c>
      <c r="U23" s="22"/>
      <c r="V23" s="31">
        <f t="shared" ref="V23:V33" si="17">IF(T$12=0,0,T23/T$12)</f>
        <v>0.77180909341873538</v>
      </c>
      <c r="W23" s="4"/>
      <c r="X23" s="22">
        <f t="shared" ref="X23:X33" si="18">+P23-T23</f>
        <v>-11245.019262980779</v>
      </c>
      <c r="Y23" s="4"/>
      <c r="Z23" s="31">
        <f t="shared" ref="Z23:Z33" si="19">IF(T23=0,0,X23/T23)</f>
        <v>-0.25252075571266153</v>
      </c>
    </row>
    <row r="24" spans="1:26" s="28" customFormat="1" outlineLevel="1" collapsed="1" x14ac:dyDescent="0.3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1377.0500000000002</v>
      </c>
      <c r="E24" s="1"/>
      <c r="F24" s="5">
        <f t="shared" si="12"/>
        <v>3.9304767577969468E-2</v>
      </c>
      <c r="G24" s="1"/>
      <c r="H24" s="1">
        <f>SUM(OSRRefH22_0x_0)</f>
        <v>2656.2953134615377</v>
      </c>
      <c r="I24" s="1"/>
      <c r="J24" s="5">
        <f t="shared" si="13"/>
        <v>9.9935865818718495E-2</v>
      </c>
      <c r="K24" s="1"/>
      <c r="L24" s="1">
        <f t="shared" si="14"/>
        <v>-1279.2453134615375</v>
      </c>
      <c r="M24" s="1"/>
      <c r="N24" s="5">
        <f t="shared" si="15"/>
        <v>-0.48159002012261037</v>
      </c>
      <c r="O24" s="14"/>
      <c r="P24" s="1">
        <f>SUM(OSRRefP22_0x_0)</f>
        <v>2677.5</v>
      </c>
      <c r="Q24" s="1"/>
      <c r="R24" s="5">
        <f t="shared" si="16"/>
        <v>4.0054716762663353E-2</v>
      </c>
      <c r="S24" s="1"/>
      <c r="T24" s="1">
        <f>SUM(OSRRefT22_0x_0)</f>
        <v>5729.5394552884609</v>
      </c>
      <c r="U24" s="1"/>
      <c r="V24" s="5">
        <f t="shared" si="17"/>
        <v>9.9303940504505625E-2</v>
      </c>
      <c r="W24" s="1"/>
      <c r="X24" s="1">
        <f t="shared" si="18"/>
        <v>-3052.0394552884609</v>
      </c>
      <c r="Y24" s="1"/>
      <c r="Z24" s="5">
        <f t="shared" si="19"/>
        <v>-0.53268495297146046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6">
        <v>391.29</v>
      </c>
      <c r="E25" s="2"/>
      <c r="F25" s="7">
        <f t="shared" si="12"/>
        <v>1.1168485171623159E-2</v>
      </c>
      <c r="G25" s="2"/>
      <c r="H25" s="6">
        <v>735.58575576923101</v>
      </c>
      <c r="I25" s="2"/>
      <c r="J25" s="7">
        <f t="shared" si="13"/>
        <v>2.7674407666261513E-2</v>
      </c>
      <c r="K25" s="2"/>
      <c r="L25" s="6">
        <f t="shared" si="14"/>
        <v>-344.29575576923099</v>
      </c>
      <c r="M25" s="2"/>
      <c r="N25" s="7">
        <f t="shared" si="15"/>
        <v>-0.4680565835715339</v>
      </c>
      <c r="O25" s="11"/>
      <c r="P25" s="6">
        <v>794.26</v>
      </c>
      <c r="Q25" s="2"/>
      <c r="R25" s="7">
        <f t="shared" si="16"/>
        <v>1.1881926922843322E-2</v>
      </c>
      <c r="S25" s="2"/>
      <c r="T25" s="6">
        <v>1655.0679504807699</v>
      </c>
      <c r="U25" s="2"/>
      <c r="V25" s="7">
        <f t="shared" si="17"/>
        <v>2.8685511386740557E-2</v>
      </c>
      <c r="W25" s="2"/>
      <c r="X25" s="6">
        <f t="shared" si="18"/>
        <v>-860.80795048076993</v>
      </c>
      <c r="Y25" s="2"/>
      <c r="Z25" s="7">
        <f t="shared" si="19"/>
        <v>-0.52010429555518822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6">
        <v>47.61</v>
      </c>
      <c r="E26" s="2"/>
      <c r="F26" s="7">
        <f t="shared" si="12"/>
        <v>1.3589194178767118E-3</v>
      </c>
      <c r="G26" s="2"/>
      <c r="H26" s="6">
        <v>149.94300000000001</v>
      </c>
      <c r="I26" s="2"/>
      <c r="J26" s="7">
        <f t="shared" si="13"/>
        <v>5.6411963882618517E-3</v>
      </c>
      <c r="K26" s="2"/>
      <c r="L26" s="6">
        <f t="shared" si="14"/>
        <v>-102.33300000000001</v>
      </c>
      <c r="M26" s="2"/>
      <c r="N26" s="7">
        <f t="shared" si="15"/>
        <v>-0.68247934215001704</v>
      </c>
      <c r="O26" s="11"/>
      <c r="P26" s="6">
        <v>84.4</v>
      </c>
      <c r="Q26" s="2"/>
      <c r="R26" s="7">
        <f t="shared" si="16"/>
        <v>1.2626024630322267E-3</v>
      </c>
      <c r="S26" s="2"/>
      <c r="T26" s="6">
        <v>337.37175000000002</v>
      </c>
      <c r="U26" s="2"/>
      <c r="V26" s="7">
        <f t="shared" si="17"/>
        <v>5.8473014194845487E-3</v>
      </c>
      <c r="W26" s="2"/>
      <c r="X26" s="6">
        <f t="shared" si="18"/>
        <v>-252.97175000000001</v>
      </c>
      <c r="Y26" s="2"/>
      <c r="Z26" s="7">
        <f t="shared" si="19"/>
        <v>-0.74983086165335422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6">
        <v>526.70000000000005</v>
      </c>
      <c r="E27" s="2"/>
      <c r="F27" s="7">
        <f t="shared" si="12"/>
        <v>1.5033456362017732E-2</v>
      </c>
      <c r="G27" s="2"/>
      <c r="H27" s="6">
        <v>988.5</v>
      </c>
      <c r="I27" s="2"/>
      <c r="J27" s="7">
        <f t="shared" si="13"/>
        <v>3.7189616252821668E-2</v>
      </c>
      <c r="K27" s="2"/>
      <c r="L27" s="6">
        <f t="shared" si="14"/>
        <v>-461.79999999999995</v>
      </c>
      <c r="M27" s="2"/>
      <c r="N27" s="7">
        <f t="shared" si="15"/>
        <v>-0.46717248356095087</v>
      </c>
      <c r="O27" s="11"/>
      <c r="P27" s="6">
        <v>1053.4000000000001</v>
      </c>
      <c r="Q27" s="2"/>
      <c r="R27" s="7">
        <f t="shared" si="16"/>
        <v>1.5758595196186585E-2</v>
      </c>
      <c r="S27" s="2"/>
      <c r="T27" s="6">
        <v>1977</v>
      </c>
      <c r="U27" s="2"/>
      <c r="V27" s="7">
        <f t="shared" si="17"/>
        <v>3.4265213096001522E-2</v>
      </c>
      <c r="W27" s="2"/>
      <c r="X27" s="6">
        <f t="shared" si="18"/>
        <v>-923.59999999999991</v>
      </c>
      <c r="Y27" s="2"/>
      <c r="Z27" s="7">
        <f t="shared" si="19"/>
        <v>-0.46717248356095087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>
        <v>8.36</v>
      </c>
      <c r="E28" s="2"/>
      <c r="F28" s="7">
        <f t="shared" si="12"/>
        <v>2.3861723027618801E-4</v>
      </c>
      <c r="G28" s="2"/>
      <c r="H28" s="6">
        <v>20.184634615384599</v>
      </c>
      <c r="I28" s="2"/>
      <c r="J28" s="7">
        <f t="shared" si="13"/>
        <v>7.5939182149678704E-4</v>
      </c>
      <c r="K28" s="2"/>
      <c r="L28" s="6">
        <f t="shared" si="14"/>
        <v>-11.8246346153846</v>
      </c>
      <c r="M28" s="2"/>
      <c r="N28" s="7">
        <f t="shared" si="15"/>
        <v>-0.58582356533577973</v>
      </c>
      <c r="O28" s="11"/>
      <c r="P28" s="6">
        <v>14.82</v>
      </c>
      <c r="Q28" s="2"/>
      <c r="R28" s="7">
        <f t="shared" si="16"/>
        <v>2.2170341827177251E-4</v>
      </c>
      <c r="S28" s="2"/>
      <c r="T28" s="6">
        <v>45.415427884615397</v>
      </c>
      <c r="U28" s="2"/>
      <c r="V28" s="7">
        <f t="shared" si="17"/>
        <v>7.8713672954599709E-4</v>
      </c>
      <c r="W28" s="2"/>
      <c r="X28" s="6">
        <f t="shared" si="18"/>
        <v>-30.595427884615397</v>
      </c>
      <c r="Y28" s="2"/>
      <c r="Z28" s="7">
        <f t="shared" si="19"/>
        <v>-0.6736791726887964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6">
        <v>88.89</v>
      </c>
      <c r="E29" s="2"/>
      <c r="F29" s="7">
        <f t="shared" si="12"/>
        <v>2.537163349192626E-3</v>
      </c>
      <c r="G29" s="2"/>
      <c r="H29" s="6">
        <v>206.11884615384599</v>
      </c>
      <c r="I29" s="2"/>
      <c r="J29" s="7">
        <f t="shared" si="13"/>
        <v>7.7546593737338595E-3</v>
      </c>
      <c r="K29" s="2"/>
      <c r="L29" s="6">
        <f t="shared" si="14"/>
        <v>-117.22884615384599</v>
      </c>
      <c r="M29" s="2"/>
      <c r="N29" s="7">
        <f t="shared" si="15"/>
        <v>-0.56874394719999066</v>
      </c>
      <c r="O29" s="11"/>
      <c r="P29" s="6">
        <v>177.78</v>
      </c>
      <c r="Q29" s="2"/>
      <c r="R29" s="7">
        <f t="shared" si="16"/>
        <v>2.6595434345719105E-3</v>
      </c>
      <c r="S29" s="2"/>
      <c r="T29" s="6">
        <v>463.76740384615402</v>
      </c>
      <c r="U29" s="2"/>
      <c r="V29" s="7">
        <f t="shared" si="17"/>
        <v>8.0379812441921418E-3</v>
      </c>
      <c r="W29" s="2"/>
      <c r="X29" s="6">
        <f t="shared" si="18"/>
        <v>-285.98740384615405</v>
      </c>
      <c r="Y29" s="2"/>
      <c r="Z29" s="7">
        <f t="shared" si="19"/>
        <v>-0.61666128639999229</v>
      </c>
    </row>
    <row r="30" spans="1:26" s="24" customFormat="1" hidden="1" outlineLevel="2" x14ac:dyDescent="0.3">
      <c r="A30" s="27"/>
      <c r="B30" s="11" t="str">
        <f>CONCATENATE("          ", "6116", " - ", "EDUCATIONAL BENEFITS")</f>
        <v xml:space="preserve">          6116 - EDUCATIONAL BENEFITS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6">
        <v>85.64</v>
      </c>
      <c r="E31" s="2"/>
      <c r="F31" s="7">
        <f t="shared" si="12"/>
        <v>2.4443994737862133E-3</v>
      </c>
      <c r="G31" s="2"/>
      <c r="H31" s="6">
        <v>119.836538461538</v>
      </c>
      <c r="I31" s="2"/>
      <c r="J31" s="7">
        <f t="shared" si="13"/>
        <v>4.5085228917057189E-3</v>
      </c>
      <c r="K31" s="2"/>
      <c r="L31" s="6">
        <f t="shared" si="14"/>
        <v>-34.196538461537997</v>
      </c>
      <c r="M31" s="2"/>
      <c r="N31" s="7">
        <f t="shared" si="15"/>
        <v>-0.28535986520099216</v>
      </c>
      <c r="O31" s="11"/>
      <c r="P31" s="6">
        <v>171.28</v>
      </c>
      <c r="Q31" s="2"/>
      <c r="R31" s="7">
        <f t="shared" si="16"/>
        <v>2.5623050932246419E-3</v>
      </c>
      <c r="S31" s="2"/>
      <c r="T31" s="6">
        <v>269.63221153846098</v>
      </c>
      <c r="U31" s="2"/>
      <c r="V31" s="7">
        <f t="shared" si="17"/>
        <v>4.673244909414025E-3</v>
      </c>
      <c r="W31" s="2"/>
      <c r="X31" s="6">
        <f t="shared" si="18"/>
        <v>-98.352211538460978</v>
      </c>
      <c r="Y31" s="2"/>
      <c r="Z31" s="7">
        <f t="shared" si="19"/>
        <v>-0.36476432462310532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6">
        <v>54.02</v>
      </c>
      <c r="E32" s="2"/>
      <c r="F32" s="7">
        <f t="shared" si="12"/>
        <v>1.5418783229090524E-3</v>
      </c>
      <c r="G32" s="2"/>
      <c r="H32" s="6">
        <v>436.12653846153802</v>
      </c>
      <c r="I32" s="2"/>
      <c r="J32" s="7">
        <f t="shared" si="13"/>
        <v>1.6408071424437096E-2</v>
      </c>
      <c r="K32" s="2"/>
      <c r="L32" s="6">
        <f t="shared" si="14"/>
        <v>-382.10653846153804</v>
      </c>
      <c r="M32" s="2"/>
      <c r="N32" s="7">
        <f t="shared" si="15"/>
        <v>-0.87613686571205063</v>
      </c>
      <c r="O32" s="11"/>
      <c r="P32" s="6">
        <v>108.04</v>
      </c>
      <c r="Q32" s="2"/>
      <c r="R32" s="7">
        <f t="shared" si="16"/>
        <v>1.6162508306398315E-3</v>
      </c>
      <c r="S32" s="2"/>
      <c r="T32" s="6">
        <v>981.28471153846101</v>
      </c>
      <c r="U32" s="2"/>
      <c r="V32" s="7">
        <f t="shared" si="17"/>
        <v>1.7007551719126834E-2</v>
      </c>
      <c r="W32" s="2"/>
      <c r="X32" s="6">
        <f t="shared" si="18"/>
        <v>-873.24471153846105</v>
      </c>
      <c r="Y32" s="2"/>
      <c r="Z32" s="7">
        <f t="shared" si="19"/>
        <v>-0.88989943618848955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6">
        <v>174.54</v>
      </c>
      <c r="E33" s="2"/>
      <c r="F33" s="7">
        <f t="shared" si="12"/>
        <v>4.9818482502877815E-3</v>
      </c>
      <c r="G33" s="2"/>
      <c r="H33" s="6"/>
      <c r="I33" s="2"/>
      <c r="J33" s="7">
        <f t="shared" si="13"/>
        <v>0</v>
      </c>
      <c r="K33" s="2"/>
      <c r="L33" s="6">
        <f t="shared" si="14"/>
        <v>174.54</v>
      </c>
      <c r="M33" s="2"/>
      <c r="N33" s="7">
        <f t="shared" si="15"/>
        <v>0</v>
      </c>
      <c r="O33" s="11"/>
      <c r="P33" s="6">
        <v>273.52</v>
      </c>
      <c r="Q33" s="2"/>
      <c r="R33" s="7">
        <f t="shared" si="16"/>
        <v>4.0917894038930641E-3</v>
      </c>
      <c r="S33" s="2"/>
      <c r="T33" s="6"/>
      <c r="U33" s="2"/>
      <c r="V33" s="7">
        <f t="shared" si="17"/>
        <v>0</v>
      </c>
      <c r="W33" s="2"/>
      <c r="X33" s="6">
        <f t="shared" si="18"/>
        <v>273.52</v>
      </c>
      <c r="Y33" s="2"/>
      <c r="Z33" s="7">
        <f t="shared" si="19"/>
        <v>0</v>
      </c>
    </row>
    <row r="34" spans="1:26" s="28" customFormat="1" outlineLevel="1" collapsed="1" x14ac:dyDescent="0.3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5592.55</v>
      </c>
      <c r="E34" s="1"/>
      <c r="F34" s="5">
        <f t="shared" ref="F34:F44" si="20">IF(D$12=0,0,D34/D$12)</f>
        <v>0.15962664966281045</v>
      </c>
      <c r="G34" s="1"/>
      <c r="H34" s="1">
        <f>SUM(OSRRefH22_1x_0)</f>
        <v>9122.4576923076893</v>
      </c>
      <c r="I34" s="1"/>
      <c r="J34" s="5">
        <f t="shared" ref="J34:J44" si="21">IF(H$12=0,0,H34/H$12)</f>
        <v>0.34320758812293789</v>
      </c>
      <c r="K34" s="1"/>
      <c r="L34" s="1">
        <f t="shared" ref="L34:L44" si="22">+D34-H34</f>
        <v>-3529.9076923076891</v>
      </c>
      <c r="M34" s="1"/>
      <c r="N34" s="5">
        <f t="shared" ref="N34:N44" si="23">IF(H34=0,0,L34/H34)</f>
        <v>-0.38694700609948629</v>
      </c>
      <c r="O34" s="14"/>
      <c r="P34" s="1">
        <f>SUM(OSRRefP22_1x_0)</f>
        <v>12132.23</v>
      </c>
      <c r="Q34" s="1"/>
      <c r="R34" s="5">
        <f t="shared" ref="R34:R44" si="24">IF(P$12=0,0,P34/P$12)</f>
        <v>0.18149506492978046</v>
      </c>
      <c r="S34" s="1"/>
      <c r="T34" s="1">
        <f>SUM(OSRRefT22_1x_0)</f>
        <v>20525.52980769231</v>
      </c>
      <c r="U34" s="1"/>
      <c r="V34" s="5">
        <f t="shared" ref="V34:V44" si="25">IF(T$12=0,0,T34/T$12)</f>
        <v>0.3557469159175054</v>
      </c>
      <c r="W34" s="1"/>
      <c r="X34" s="1">
        <f t="shared" ref="X34:X44" si="26">+P34-T34</f>
        <v>-8393.2998076923104</v>
      </c>
      <c r="Y34" s="1"/>
      <c r="Z34" s="5">
        <f t="shared" ref="Z34:Z44" si="27">IF(T34=0,0,X34/T34)</f>
        <v>-0.4089200077333337</v>
      </c>
    </row>
    <row r="35" spans="1:26" s="24" customFormat="1" hidden="1" outlineLevel="2" x14ac:dyDescent="0.3">
      <c r="A35" s="27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3">
      <c r="A36" s="27"/>
      <c r="B36" s="11" t="str">
        <f>CONCATENATE("          ", "6002", " - ", "STAFF SALARIES")</f>
        <v xml:space="preserve">          6002 - STAFF SALARIES</v>
      </c>
      <c r="C36" s="11"/>
      <c r="D36" s="6">
        <v>1171.1600000000001</v>
      </c>
      <c r="E36" s="2"/>
      <c r="F36" s="7">
        <f t="shared" si="20"/>
        <v>3.3428104714145979E-2</v>
      </c>
      <c r="G36" s="2"/>
      <c r="H36" s="6">
        <v>2157.0576923076901</v>
      </c>
      <c r="I36" s="2"/>
      <c r="J36" s="7">
        <f t="shared" si="21"/>
        <v>8.1153412050703158E-2</v>
      </c>
      <c r="K36" s="2"/>
      <c r="L36" s="6">
        <f t="shared" si="22"/>
        <v>-985.89769230769002</v>
      </c>
      <c r="M36" s="2"/>
      <c r="N36" s="7">
        <f t="shared" si="23"/>
        <v>-0.45705671008407051</v>
      </c>
      <c r="O36" s="11"/>
      <c r="P36" s="6">
        <v>2576.7600000000002</v>
      </c>
      <c r="Q36" s="2"/>
      <c r="R36" s="7">
        <f t="shared" si="24"/>
        <v>3.8547672069228919E-2</v>
      </c>
      <c r="S36" s="2"/>
      <c r="T36" s="6">
        <v>4853.3798076923104</v>
      </c>
      <c r="U36" s="2"/>
      <c r="V36" s="7">
        <f t="shared" si="25"/>
        <v>8.4118408369452669E-2</v>
      </c>
      <c r="W36" s="2"/>
      <c r="X36" s="6">
        <f t="shared" si="26"/>
        <v>-2276.6198076923101</v>
      </c>
      <c r="Y36" s="2"/>
      <c r="Z36" s="7">
        <f t="shared" si="27"/>
        <v>-0.4690792597941762</v>
      </c>
    </row>
    <row r="37" spans="1:26" s="24" customFormat="1" hidden="1" outlineLevel="2" x14ac:dyDescent="0.3">
      <c r="A37" s="27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7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4742.3999999999996</v>
      </c>
      <c r="I38" s="2"/>
      <c r="J38" s="7">
        <f t="shared" si="21"/>
        <v>0.1784198645598194</v>
      </c>
      <c r="K38" s="2"/>
      <c r="L38" s="6">
        <f t="shared" si="22"/>
        <v>-4742.3999999999996</v>
      </c>
      <c r="M38" s="2"/>
      <c r="N38" s="7">
        <f t="shared" si="23"/>
        <v>-1</v>
      </c>
      <c r="O38" s="11"/>
      <c r="P38" s="6">
        <v>231.35</v>
      </c>
      <c r="Q38" s="2"/>
      <c r="R38" s="7">
        <f t="shared" si="24"/>
        <v>3.4609369647216307E-3</v>
      </c>
      <c r="S38" s="2"/>
      <c r="T38" s="6">
        <v>10670.4</v>
      </c>
      <c r="U38" s="2"/>
      <c r="V38" s="7">
        <f t="shared" si="25"/>
        <v>0.18493855833058911</v>
      </c>
      <c r="W38" s="2"/>
      <c r="X38" s="6">
        <f t="shared" si="26"/>
        <v>-10439.049999999999</v>
      </c>
      <c r="Y38" s="2"/>
      <c r="Z38" s="7">
        <f t="shared" si="27"/>
        <v>-0.97831852601589442</v>
      </c>
    </row>
    <row r="39" spans="1:26" s="24" customFormat="1" hidden="1" outlineLevel="2" x14ac:dyDescent="0.3">
      <c r="A39" s="27"/>
      <c r="B39" s="11" t="str">
        <f>CONCATENATE("          ", "6005", " - ", "TEMPORARY WAGES-HOURLY")</f>
        <v xml:space="preserve">          6005 - TEMPORARY WAGES-HOURLY</v>
      </c>
      <c r="C39" s="11"/>
      <c r="D39" s="6">
        <v>312.44</v>
      </c>
      <c r="E39" s="2"/>
      <c r="F39" s="7">
        <f t="shared" si="20"/>
        <v>8.9178908406091131E-3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312.44</v>
      </c>
      <c r="M39" s="2"/>
      <c r="N39" s="7">
        <f t="shared" si="23"/>
        <v>0</v>
      </c>
      <c r="O39" s="11"/>
      <c r="P39" s="6">
        <v>1663.65</v>
      </c>
      <c r="Q39" s="2"/>
      <c r="R39" s="7">
        <f t="shared" si="24"/>
        <v>2.4887779474212841E-2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1663.65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"6007", " - ", "STUDENT HOURLY")</f>
        <v xml:space="preserve">          6007 - STUDENT HOURLY</v>
      </c>
      <c r="C41" s="11"/>
      <c r="D41" s="6">
        <v>3961.11</v>
      </c>
      <c r="E41" s="2"/>
      <c r="F41" s="7">
        <f t="shared" si="20"/>
        <v>0.11306089677264487</v>
      </c>
      <c r="G41" s="2"/>
      <c r="H41" s="6">
        <v>2223</v>
      </c>
      <c r="I41" s="2"/>
      <c r="J41" s="7">
        <f t="shared" si="21"/>
        <v>8.3634311512415349E-2</v>
      </c>
      <c r="K41" s="2"/>
      <c r="L41" s="6">
        <f t="shared" si="22"/>
        <v>1738.1100000000001</v>
      </c>
      <c r="M41" s="2"/>
      <c r="N41" s="7">
        <f t="shared" si="23"/>
        <v>0.78187584345479089</v>
      </c>
      <c r="O41" s="11"/>
      <c r="P41" s="6">
        <v>7218.88</v>
      </c>
      <c r="Q41" s="2"/>
      <c r="R41" s="7">
        <f t="shared" si="24"/>
        <v>0.10799260270538009</v>
      </c>
      <c r="S41" s="2"/>
      <c r="T41" s="6">
        <v>5001.75</v>
      </c>
      <c r="U41" s="2"/>
      <c r="V41" s="7">
        <f t="shared" si="25"/>
        <v>8.6689949217463647E-2</v>
      </c>
      <c r="W41" s="2"/>
      <c r="X41" s="6">
        <f t="shared" si="26"/>
        <v>2217.13</v>
      </c>
      <c r="Y41" s="2"/>
      <c r="Z41" s="7">
        <f t="shared" si="27"/>
        <v>0.44327085520067977</v>
      </c>
    </row>
    <row r="42" spans="1:26" s="24" customFormat="1" hidden="1" outlineLevel="2" x14ac:dyDescent="0.3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6">
        <v>147.84</v>
      </c>
      <c r="E42" s="2"/>
      <c r="F42" s="7">
        <f t="shared" si="20"/>
        <v>4.2197573354104826E-3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147.84</v>
      </c>
      <c r="M42" s="2"/>
      <c r="N42" s="7">
        <f t="shared" si="23"/>
        <v>0</v>
      </c>
      <c r="O42" s="11"/>
      <c r="P42" s="6">
        <v>441.59</v>
      </c>
      <c r="Q42" s="2"/>
      <c r="R42" s="7">
        <f t="shared" si="24"/>
        <v>6.6060737162369773E-3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441.59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8" customFormat="1" outlineLevel="1" collapsed="1" x14ac:dyDescent="0.3">
      <c r="A45" s="29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195</v>
      </c>
      <c r="E45" s="1"/>
      <c r="F45" s="5">
        <f t="shared" ref="F45:F65" si="28">IF(D$12=0,0,D45/D$12)</f>
        <v>5.565832524384768E-3</v>
      </c>
      <c r="G45" s="1"/>
      <c r="H45" s="1">
        <f>SUM(OSRRefH22_2x_0)</f>
        <v>50</v>
      </c>
      <c r="I45" s="1"/>
      <c r="J45" s="5">
        <f t="shared" ref="J45:J65" si="29">IF(H$12=0,0,H45/H$12)</f>
        <v>1.8811136192626034E-3</v>
      </c>
      <c r="K45" s="1"/>
      <c r="L45" s="1">
        <f t="shared" ref="L45:L65" si="30">+D45-H45</f>
        <v>145</v>
      </c>
      <c r="M45" s="1"/>
      <c r="N45" s="5">
        <f t="shared" ref="N45:N65" si="31">IF(H45=0,0,L45/H45)</f>
        <v>2.9</v>
      </c>
      <c r="O45" s="14"/>
      <c r="P45" s="1">
        <f>SUM(OSRRefP22_2x_0)</f>
        <v>390</v>
      </c>
      <c r="Q45" s="1"/>
      <c r="R45" s="5">
        <f t="shared" ref="R45:R65" si="32">IF(P$12=0,0,P45/P$12)</f>
        <v>5.834300480836118E-3</v>
      </c>
      <c r="S45" s="1"/>
      <c r="T45" s="1">
        <f>SUM(OSRRefT22_2x_0)</f>
        <v>100</v>
      </c>
      <c r="U45" s="1"/>
      <c r="V45" s="5">
        <f t="shared" ref="V45:V65" si="33">IF(T$12=0,0,T45/T$12)</f>
        <v>1.7331923670208156E-3</v>
      </c>
      <c r="W45" s="1"/>
      <c r="X45" s="1">
        <f t="shared" ref="X45:X65" si="34">+P45-T45</f>
        <v>290</v>
      </c>
      <c r="Y45" s="1"/>
      <c r="Z45" s="5">
        <f t="shared" ref="Z45:Z65" si="35">IF(T45=0,0,X45/T45)</f>
        <v>2.9</v>
      </c>
    </row>
    <row r="46" spans="1:26" s="24" customFormat="1" hidden="1" outlineLevel="2" x14ac:dyDescent="0.3">
      <c r="A46" s="27"/>
      <c r="B46" s="11" t="str">
        <f>CONCATENATE("          ", "6362", " - ", "ADVERTISING EXPENSE")</f>
        <v xml:space="preserve">          6362 - ADVERTISING EXPENSE</v>
      </c>
      <c r="C46" s="11"/>
      <c r="D46" s="6">
        <v>195</v>
      </c>
      <c r="E46" s="2"/>
      <c r="F46" s="7">
        <f t="shared" si="28"/>
        <v>5.565832524384768E-3</v>
      </c>
      <c r="G46" s="2"/>
      <c r="H46" s="6">
        <v>50</v>
      </c>
      <c r="I46" s="2"/>
      <c r="J46" s="7">
        <f t="shared" si="29"/>
        <v>1.8811136192626034E-3</v>
      </c>
      <c r="K46" s="2"/>
      <c r="L46" s="6">
        <f t="shared" si="30"/>
        <v>145</v>
      </c>
      <c r="M46" s="2"/>
      <c r="N46" s="7">
        <f t="shared" si="31"/>
        <v>2.9</v>
      </c>
      <c r="O46" s="11"/>
      <c r="P46" s="6">
        <v>390</v>
      </c>
      <c r="Q46" s="2"/>
      <c r="R46" s="7">
        <f t="shared" si="32"/>
        <v>5.834300480836118E-3</v>
      </c>
      <c r="S46" s="2"/>
      <c r="T46" s="6">
        <v>100</v>
      </c>
      <c r="U46" s="2"/>
      <c r="V46" s="7">
        <f t="shared" si="33"/>
        <v>1.7331923670208156E-3</v>
      </c>
      <c r="W46" s="2"/>
      <c r="X46" s="6">
        <f t="shared" si="34"/>
        <v>290</v>
      </c>
      <c r="Y46" s="2"/>
      <c r="Z46" s="7">
        <f t="shared" si="35"/>
        <v>2.9</v>
      </c>
    </row>
    <row r="47" spans="1:26" s="28" customFormat="1" outlineLevel="1" collapsed="1" x14ac:dyDescent="0.3">
      <c r="A47" s="29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7.0000000000000007E-2</v>
      </c>
      <c r="E47" s="1"/>
      <c r="F47" s="5">
        <f t="shared" si="28"/>
        <v>1.9979911625996605E-6</v>
      </c>
      <c r="G47" s="1"/>
      <c r="H47" s="1">
        <f>SUM(OSRRefH22_3x_0)</f>
        <v>10</v>
      </c>
      <c r="I47" s="1"/>
      <c r="J47" s="5">
        <f t="shared" si="29"/>
        <v>3.7622272385252068E-4</v>
      </c>
      <c r="K47" s="1"/>
      <c r="L47" s="1">
        <f t="shared" si="30"/>
        <v>-9.93</v>
      </c>
      <c r="M47" s="1"/>
      <c r="N47" s="5">
        <f t="shared" si="31"/>
        <v>-0.99299999999999999</v>
      </c>
      <c r="O47" s="14"/>
      <c r="P47" s="1">
        <f>SUM(OSRRefP22_3x_0)</f>
        <v>0.67</v>
      </c>
      <c r="Q47" s="1"/>
      <c r="R47" s="5">
        <f t="shared" si="32"/>
        <v>1.0023029031179999E-5</v>
      </c>
      <c r="S47" s="1"/>
      <c r="T47" s="1">
        <f>SUM(OSRRefT22_3x_0)</f>
        <v>20</v>
      </c>
      <c r="U47" s="1"/>
      <c r="V47" s="5">
        <f t="shared" si="33"/>
        <v>3.4663847340416312E-4</v>
      </c>
      <c r="W47" s="1"/>
      <c r="X47" s="1">
        <f t="shared" si="34"/>
        <v>-19.329999999999998</v>
      </c>
      <c r="Y47" s="1"/>
      <c r="Z47" s="5">
        <f t="shared" si="35"/>
        <v>-0.96649999999999991</v>
      </c>
    </row>
    <row r="48" spans="1:26" s="24" customFormat="1" hidden="1" outlineLevel="2" x14ac:dyDescent="0.3">
      <c r="A48" s="27"/>
      <c r="B48" s="11" t="str">
        <f>CONCATENATE("          ", "6272", " - ", "CASH (OVER/SHORT)")</f>
        <v xml:space="preserve">          6272 - CASH (OVER/SHORT)</v>
      </c>
      <c r="C48" s="11"/>
      <c r="D48" s="6">
        <v>7.0000000000000007E-2</v>
      </c>
      <c r="E48" s="2"/>
      <c r="F48" s="7">
        <f t="shared" si="28"/>
        <v>1.9979911625996605E-6</v>
      </c>
      <c r="G48" s="2"/>
      <c r="H48" s="6">
        <v>10</v>
      </c>
      <c r="I48" s="2"/>
      <c r="J48" s="7">
        <f t="shared" si="29"/>
        <v>3.7622272385252068E-4</v>
      </c>
      <c r="K48" s="2"/>
      <c r="L48" s="6">
        <f t="shared" si="30"/>
        <v>-9.93</v>
      </c>
      <c r="M48" s="2"/>
      <c r="N48" s="7">
        <f t="shared" si="31"/>
        <v>-0.99299999999999999</v>
      </c>
      <c r="O48" s="11"/>
      <c r="P48" s="6">
        <v>0.67</v>
      </c>
      <c r="Q48" s="2"/>
      <c r="R48" s="7">
        <f t="shared" si="32"/>
        <v>1.0023029031179999E-5</v>
      </c>
      <c r="S48" s="2"/>
      <c r="T48" s="6">
        <v>20</v>
      </c>
      <c r="U48" s="2"/>
      <c r="V48" s="7">
        <f t="shared" si="33"/>
        <v>3.4663847340416312E-4</v>
      </c>
      <c r="W48" s="2"/>
      <c r="X48" s="6">
        <f t="shared" si="34"/>
        <v>-19.329999999999998</v>
      </c>
      <c r="Y48" s="2"/>
      <c r="Z48" s="7">
        <f t="shared" si="35"/>
        <v>-0.96649999999999991</v>
      </c>
    </row>
    <row r="49" spans="1:26" s="28" customFormat="1" outlineLevel="1" collapsed="1" x14ac:dyDescent="0.3">
      <c r="A49" s="29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614.21</v>
      </c>
      <c r="E49" s="1"/>
      <c r="F49" s="5">
        <f t="shared" si="28"/>
        <v>1.7531230742576249E-2</v>
      </c>
      <c r="G49" s="1"/>
      <c r="H49" s="1">
        <f>SUM(OSRRefH22_4x_0)</f>
        <v>507</v>
      </c>
      <c r="I49" s="1"/>
      <c r="J49" s="5">
        <f t="shared" si="29"/>
        <v>1.9074492099322798E-2</v>
      </c>
      <c r="K49" s="1"/>
      <c r="L49" s="1">
        <f t="shared" si="30"/>
        <v>107.21000000000004</v>
      </c>
      <c r="M49" s="1"/>
      <c r="N49" s="5">
        <f t="shared" si="31"/>
        <v>0.21145956607495076</v>
      </c>
      <c r="O49" s="14"/>
      <c r="P49" s="1">
        <f>SUM(OSRRefP22_4x_0)</f>
        <v>1106.53</v>
      </c>
      <c r="Q49" s="1"/>
      <c r="R49" s="5">
        <f t="shared" si="32"/>
        <v>1.6553406438614332E-2</v>
      </c>
      <c r="S49" s="1"/>
      <c r="T49" s="1">
        <f>SUM(OSRRefT22_4x_0)</f>
        <v>1104</v>
      </c>
      <c r="U49" s="1"/>
      <c r="V49" s="5">
        <f t="shared" si="33"/>
        <v>1.9134443731909805E-2</v>
      </c>
      <c r="W49" s="1"/>
      <c r="X49" s="1">
        <f t="shared" si="34"/>
        <v>2.5299999999999727</v>
      </c>
      <c r="Y49" s="1"/>
      <c r="Z49" s="5">
        <f t="shared" si="35"/>
        <v>2.291666666666642E-3</v>
      </c>
    </row>
    <row r="50" spans="1:26" s="24" customFormat="1" hidden="1" outlineLevel="2" x14ac:dyDescent="0.3">
      <c r="A50" s="27"/>
      <c r="B50" s="11" t="str">
        <f>CONCATENATE("          ", "6381", " - ", "BANK/CREDIT CARD FEES")</f>
        <v xml:space="preserve">          6381 - BANK/CREDIT CARD FEES</v>
      </c>
      <c r="C50" s="11"/>
      <c r="D50" s="6">
        <v>614.21</v>
      </c>
      <c r="E50" s="2"/>
      <c r="F50" s="7">
        <f t="shared" si="28"/>
        <v>1.7531230742576249E-2</v>
      </c>
      <c r="G50" s="2"/>
      <c r="H50" s="6">
        <v>507</v>
      </c>
      <c r="I50" s="2"/>
      <c r="J50" s="7">
        <f t="shared" si="29"/>
        <v>1.9074492099322798E-2</v>
      </c>
      <c r="K50" s="2"/>
      <c r="L50" s="6">
        <f t="shared" si="30"/>
        <v>107.21000000000004</v>
      </c>
      <c r="M50" s="2"/>
      <c r="N50" s="7">
        <f t="shared" si="31"/>
        <v>0.21145956607495076</v>
      </c>
      <c r="O50" s="11"/>
      <c r="P50" s="6">
        <v>1106.53</v>
      </c>
      <c r="Q50" s="2"/>
      <c r="R50" s="7">
        <f t="shared" si="32"/>
        <v>1.6553406438614332E-2</v>
      </c>
      <c r="S50" s="2"/>
      <c r="T50" s="6">
        <v>1104</v>
      </c>
      <c r="U50" s="2"/>
      <c r="V50" s="7">
        <f t="shared" si="33"/>
        <v>1.9134443731909805E-2</v>
      </c>
      <c r="W50" s="2"/>
      <c r="X50" s="6">
        <f t="shared" si="34"/>
        <v>2.5299999999999727</v>
      </c>
      <c r="Y50" s="2"/>
      <c r="Z50" s="7">
        <f t="shared" si="35"/>
        <v>2.291666666666642E-3</v>
      </c>
    </row>
    <row r="51" spans="1:26" s="28" customFormat="1" outlineLevel="1" collapsed="1" x14ac:dyDescent="0.3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SUM(OSRRefD22_5x_0)</f>
        <v>0</v>
      </c>
      <c r="E51" s="1"/>
      <c r="F51" s="5">
        <f t="shared" si="28"/>
        <v>0</v>
      </c>
      <c r="G51" s="1"/>
      <c r="H51" s="1">
        <f>SUM(OSRRefH22_5x_0)</f>
        <v>25</v>
      </c>
      <c r="I51" s="1"/>
      <c r="J51" s="5">
        <f t="shared" si="29"/>
        <v>9.4055680963130172E-4</v>
      </c>
      <c r="K51" s="1"/>
      <c r="L51" s="1">
        <f t="shared" si="30"/>
        <v>-25</v>
      </c>
      <c r="M51" s="1"/>
      <c r="N51" s="5">
        <f t="shared" si="31"/>
        <v>-1</v>
      </c>
      <c r="O51" s="14"/>
      <c r="P51" s="1">
        <f>SUM(OSRRefP22_5x_0)</f>
        <v>0</v>
      </c>
      <c r="Q51" s="1"/>
      <c r="R51" s="5">
        <f t="shared" si="32"/>
        <v>0</v>
      </c>
      <c r="S51" s="1"/>
      <c r="T51" s="1">
        <f>SUM(OSRRefT22_5x_0)</f>
        <v>50</v>
      </c>
      <c r="U51" s="1"/>
      <c r="V51" s="5">
        <f t="shared" si="33"/>
        <v>8.6659618351040779E-4</v>
      </c>
      <c r="W51" s="1"/>
      <c r="X51" s="1">
        <f t="shared" si="34"/>
        <v>-50</v>
      </c>
      <c r="Y51" s="1"/>
      <c r="Z51" s="5">
        <f t="shared" si="35"/>
        <v>-1</v>
      </c>
    </row>
    <row r="52" spans="1:26" s="24" customFormat="1" hidden="1" outlineLevel="2" x14ac:dyDescent="0.3">
      <c r="A52" s="27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8"/>
        <v>0</v>
      </c>
      <c r="G52" s="2"/>
      <c r="H52" s="6">
        <v>25</v>
      </c>
      <c r="I52" s="2"/>
      <c r="J52" s="7">
        <f t="shared" si="29"/>
        <v>9.4055680963130172E-4</v>
      </c>
      <c r="K52" s="2"/>
      <c r="L52" s="6">
        <f t="shared" si="30"/>
        <v>-25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50</v>
      </c>
      <c r="U52" s="2"/>
      <c r="V52" s="7">
        <f t="shared" si="33"/>
        <v>8.6659618351040779E-4</v>
      </c>
      <c r="W52" s="2"/>
      <c r="X52" s="6">
        <f t="shared" si="34"/>
        <v>-50</v>
      </c>
      <c r="Y52" s="2"/>
      <c r="Z52" s="7">
        <f t="shared" si="35"/>
        <v>-1</v>
      </c>
    </row>
    <row r="53" spans="1:26" s="28" customFormat="1" outlineLevel="1" collapsed="1" x14ac:dyDescent="0.3">
      <c r="A53" s="29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4"/>
      <c r="P53" s="1">
        <f>SUM(OSRRefP22_6x_0)</f>
        <v>0</v>
      </c>
      <c r="Q53" s="1"/>
      <c r="R53" s="5">
        <f t="shared" si="32"/>
        <v>0</v>
      </c>
      <c r="S53" s="1"/>
      <c r="T53" s="1">
        <f>SUM(OSRRefT22_6x_0)</f>
        <v>125</v>
      </c>
      <c r="U53" s="1"/>
      <c r="V53" s="5">
        <f t="shared" si="33"/>
        <v>2.1664904587760194E-3</v>
      </c>
      <c r="W53" s="1"/>
      <c r="X53" s="1">
        <f t="shared" si="34"/>
        <v>-125</v>
      </c>
      <c r="Y53" s="1"/>
      <c r="Z53" s="5">
        <f t="shared" si="35"/>
        <v>-1</v>
      </c>
    </row>
    <row r="54" spans="1:26" s="24" customFormat="1" hidden="1" outlineLevel="2" x14ac:dyDescent="0.3">
      <c r="A54" s="27"/>
      <c r="B54" s="11" t="str">
        <f>CONCATENATE("          ", "6276", " - ", "PROPERTY TAX")</f>
        <v xml:space="preserve">          6276 - PROPERTY TAX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125</v>
      </c>
      <c r="U54" s="2"/>
      <c r="V54" s="7">
        <f t="shared" si="33"/>
        <v>2.1664904587760194E-3</v>
      </c>
      <c r="W54" s="2"/>
      <c r="X54" s="6">
        <f t="shared" si="34"/>
        <v>-125</v>
      </c>
      <c r="Y54" s="2"/>
      <c r="Z54" s="7">
        <f t="shared" si="35"/>
        <v>-1</v>
      </c>
    </row>
    <row r="55" spans="1:26" s="28" customFormat="1" outlineLevel="1" collapsed="1" x14ac:dyDescent="0.3">
      <c r="A55" s="29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SUM(OSRRefD22_7x_0)</f>
        <v>219.08</v>
      </c>
      <c r="E55" s="1"/>
      <c r="F55" s="5">
        <f t="shared" si="28"/>
        <v>6.2531414843190521E-3</v>
      </c>
      <c r="G55" s="1"/>
      <c r="H55" s="1">
        <f>SUM(OSRRefH22_7x_0)</f>
        <v>175</v>
      </c>
      <c r="I55" s="1"/>
      <c r="J55" s="5">
        <f t="shared" si="29"/>
        <v>6.5838976674191122E-3</v>
      </c>
      <c r="K55" s="1"/>
      <c r="L55" s="1">
        <f t="shared" si="30"/>
        <v>44.080000000000013</v>
      </c>
      <c r="M55" s="1"/>
      <c r="N55" s="5">
        <f t="shared" si="31"/>
        <v>0.25188571428571438</v>
      </c>
      <c r="O55" s="14"/>
      <c r="P55" s="1">
        <f>SUM(OSRRefP22_7x_0)</f>
        <v>438.16</v>
      </c>
      <c r="Q55" s="1"/>
      <c r="R55" s="5">
        <f t="shared" si="32"/>
        <v>6.5547617914952661E-3</v>
      </c>
      <c r="S55" s="1"/>
      <c r="T55" s="1">
        <f>SUM(OSRRefT22_7x_0)</f>
        <v>350</v>
      </c>
      <c r="U55" s="1"/>
      <c r="V55" s="5">
        <f t="shared" si="33"/>
        <v>6.0661732845728551E-3</v>
      </c>
      <c r="W55" s="1"/>
      <c r="X55" s="1">
        <f t="shared" si="34"/>
        <v>88.160000000000025</v>
      </c>
      <c r="Y55" s="1"/>
      <c r="Z55" s="5">
        <f t="shared" si="35"/>
        <v>0.25188571428571438</v>
      </c>
    </row>
    <row r="56" spans="1:26" s="24" customFormat="1" hidden="1" outlineLevel="2" x14ac:dyDescent="0.3">
      <c r="A56" s="27"/>
      <c r="B56" s="11" t="str">
        <f>CONCATENATE("          ", "6314", " - ", "LIABILITY INSURANCE")</f>
        <v xml:space="preserve">          6314 - LIABILITY INSURANCE</v>
      </c>
      <c r="C56" s="11"/>
      <c r="D56" s="6">
        <v>219.08</v>
      </c>
      <c r="E56" s="2"/>
      <c r="F56" s="7">
        <f t="shared" si="28"/>
        <v>6.2531414843190521E-3</v>
      </c>
      <c r="G56" s="2"/>
      <c r="H56" s="6">
        <v>175</v>
      </c>
      <c r="I56" s="2"/>
      <c r="J56" s="7">
        <f t="shared" si="29"/>
        <v>6.5838976674191122E-3</v>
      </c>
      <c r="K56" s="2"/>
      <c r="L56" s="6">
        <f t="shared" si="30"/>
        <v>44.080000000000013</v>
      </c>
      <c r="M56" s="2"/>
      <c r="N56" s="7">
        <f t="shared" si="31"/>
        <v>0.25188571428571438</v>
      </c>
      <c r="O56" s="11"/>
      <c r="P56" s="6">
        <v>438.16</v>
      </c>
      <c r="Q56" s="2"/>
      <c r="R56" s="7">
        <f t="shared" si="32"/>
        <v>6.5547617914952661E-3</v>
      </c>
      <c r="S56" s="2"/>
      <c r="T56" s="6">
        <v>350</v>
      </c>
      <c r="U56" s="2"/>
      <c r="V56" s="7">
        <f t="shared" si="33"/>
        <v>6.0661732845728551E-3</v>
      </c>
      <c r="W56" s="2"/>
      <c r="X56" s="6">
        <f t="shared" si="34"/>
        <v>88.160000000000025</v>
      </c>
      <c r="Y56" s="2"/>
      <c r="Z56" s="7">
        <f t="shared" si="35"/>
        <v>0.25188571428571438</v>
      </c>
    </row>
    <row r="57" spans="1:26" s="28" customFormat="1" outlineLevel="1" collapsed="1" x14ac:dyDescent="0.3">
      <c r="A57" s="29"/>
      <c r="B57" s="14" t="str">
        <f>CONCATENATE("     ","Inventory Adjustment                              ")</f>
        <v xml:space="preserve">     Inventory Adjustment                              </v>
      </c>
      <c r="C57" s="14"/>
      <c r="D57" s="1">
        <f>SUM(OSRRefD22_8x_0)</f>
        <v>100</v>
      </c>
      <c r="E57" s="1"/>
      <c r="F57" s="5">
        <f t="shared" si="28"/>
        <v>2.8542730894280861E-3</v>
      </c>
      <c r="G57" s="1"/>
      <c r="H57" s="1">
        <f>SUM(OSRRefH22_8x_0)</f>
        <v>100</v>
      </c>
      <c r="I57" s="1"/>
      <c r="J57" s="5">
        <f t="shared" si="29"/>
        <v>3.7622272385252069E-3</v>
      </c>
      <c r="K57" s="1"/>
      <c r="L57" s="1">
        <f t="shared" si="30"/>
        <v>0</v>
      </c>
      <c r="M57" s="1"/>
      <c r="N57" s="5">
        <f t="shared" si="31"/>
        <v>0</v>
      </c>
      <c r="O57" s="14"/>
      <c r="P57" s="1">
        <f>SUM(OSRRefP22_8x_0)</f>
        <v>200</v>
      </c>
      <c r="Q57" s="1"/>
      <c r="R57" s="5">
        <f t="shared" si="32"/>
        <v>2.9919489645313427E-3</v>
      </c>
      <c r="S57" s="1"/>
      <c r="T57" s="1">
        <f>SUM(OSRRefT22_8x_0)</f>
        <v>200</v>
      </c>
      <c r="U57" s="1"/>
      <c r="V57" s="5">
        <f t="shared" si="33"/>
        <v>3.4663847340416312E-3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3">
      <c r="A58" s="27"/>
      <c r="B58" s="11" t="str">
        <f>CONCATENATE("          ", "6408", " - ", "INVENTORY ADJUSTMENT")</f>
        <v xml:space="preserve">          6408 - INVENTORY ADJUSTMENT</v>
      </c>
      <c r="C58" s="11"/>
      <c r="D58" s="6">
        <v>100</v>
      </c>
      <c r="E58" s="2"/>
      <c r="F58" s="7">
        <f t="shared" si="28"/>
        <v>2.8542730894280861E-3</v>
      </c>
      <c r="G58" s="2"/>
      <c r="H58" s="6">
        <v>100</v>
      </c>
      <c r="I58" s="2"/>
      <c r="J58" s="7">
        <f t="shared" si="29"/>
        <v>3.7622272385252069E-3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>
        <v>200</v>
      </c>
      <c r="Q58" s="2"/>
      <c r="R58" s="7">
        <f t="shared" si="32"/>
        <v>2.9919489645313427E-3</v>
      </c>
      <c r="S58" s="2"/>
      <c r="T58" s="6">
        <v>200</v>
      </c>
      <c r="U58" s="2"/>
      <c r="V58" s="7">
        <f t="shared" si="33"/>
        <v>3.4663847340416312E-3</v>
      </c>
      <c r="W58" s="2"/>
      <c r="X58" s="6">
        <f t="shared" si="34"/>
        <v>0</v>
      </c>
      <c r="Y58" s="2"/>
      <c r="Z58" s="7">
        <f t="shared" si="35"/>
        <v>0</v>
      </c>
    </row>
    <row r="59" spans="1:26" s="28" customFormat="1" outlineLevel="1" collapsed="1" x14ac:dyDescent="0.3">
      <c r="A59" s="29"/>
      <c r="B59" s="14" t="str">
        <f>CONCATENATE("     ","Professional Services                             ")</f>
        <v xml:space="preserve">     Professional Services                             </v>
      </c>
      <c r="C59" s="14"/>
      <c r="D59" s="1">
        <f>SUM(OSRRefD22_9x_0)</f>
        <v>0</v>
      </c>
      <c r="E59" s="1"/>
      <c r="F59" s="5">
        <f t="shared" si="28"/>
        <v>0</v>
      </c>
      <c r="G59" s="1"/>
      <c r="H59" s="1">
        <f>SUM(OSRRefH22_9x_0)</f>
        <v>0</v>
      </c>
      <c r="I59" s="1"/>
      <c r="J59" s="5">
        <f t="shared" si="29"/>
        <v>0</v>
      </c>
      <c r="K59" s="1"/>
      <c r="L59" s="1">
        <f t="shared" si="30"/>
        <v>0</v>
      </c>
      <c r="M59" s="1"/>
      <c r="N59" s="5">
        <f t="shared" si="31"/>
        <v>0</v>
      </c>
      <c r="O59" s="14"/>
      <c r="P59" s="1">
        <f>SUM(OSRRefP22_9x_0)</f>
        <v>0</v>
      </c>
      <c r="Q59" s="1"/>
      <c r="R59" s="5">
        <f t="shared" si="32"/>
        <v>0</v>
      </c>
      <c r="S59" s="1"/>
      <c r="T59" s="1">
        <f>SUM(OSRRefT22_9x_0)</f>
        <v>750</v>
      </c>
      <c r="U59" s="1"/>
      <c r="V59" s="5">
        <f t="shared" si="33"/>
        <v>1.2998942752656117E-2</v>
      </c>
      <c r="W59" s="1"/>
      <c r="X59" s="1">
        <f t="shared" si="34"/>
        <v>-750</v>
      </c>
      <c r="Y59" s="1"/>
      <c r="Z59" s="5">
        <f t="shared" si="35"/>
        <v>-1</v>
      </c>
    </row>
    <row r="60" spans="1:26" s="24" customFormat="1" hidden="1" outlineLevel="2" x14ac:dyDescent="0.3">
      <c r="A60" s="27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750</v>
      </c>
      <c r="U60" s="2"/>
      <c r="V60" s="7">
        <f t="shared" si="33"/>
        <v>1.2998942752656117E-2</v>
      </c>
      <c r="W60" s="2"/>
      <c r="X60" s="6">
        <f t="shared" si="34"/>
        <v>-750</v>
      </c>
      <c r="Y60" s="2"/>
      <c r="Z60" s="7">
        <f t="shared" si="35"/>
        <v>-1</v>
      </c>
    </row>
    <row r="61" spans="1:26" s="28" customFormat="1" outlineLevel="1" collapsed="1" x14ac:dyDescent="0.3">
      <c r="A61" s="29"/>
      <c r="B61" s="14" t="str">
        <f>CONCATENATE("     ","Rent                                              ")</f>
        <v xml:space="preserve">     Rent                                              </v>
      </c>
      <c r="C61" s="14"/>
      <c r="D61" s="1">
        <f>SUM(OSRRefD22_10x_0)</f>
        <v>6900</v>
      </c>
      <c r="E61" s="1"/>
      <c r="F61" s="5">
        <f t="shared" si="28"/>
        <v>0.19694484317053795</v>
      </c>
      <c r="G61" s="1"/>
      <c r="H61" s="1">
        <f>SUM(OSRRefH22_10x_0)</f>
        <v>6900</v>
      </c>
      <c r="I61" s="1"/>
      <c r="J61" s="5">
        <f t="shared" si="29"/>
        <v>0.2595936794582393</v>
      </c>
      <c r="K61" s="1"/>
      <c r="L61" s="1">
        <f t="shared" si="30"/>
        <v>0</v>
      </c>
      <c r="M61" s="1"/>
      <c r="N61" s="5">
        <f t="shared" si="31"/>
        <v>0</v>
      </c>
      <c r="O61" s="14"/>
      <c r="P61" s="1">
        <f>SUM(OSRRefP22_10x_0)</f>
        <v>13800</v>
      </c>
      <c r="Q61" s="1"/>
      <c r="R61" s="5">
        <f t="shared" si="32"/>
        <v>0.20644447855266265</v>
      </c>
      <c r="S61" s="1"/>
      <c r="T61" s="1">
        <f>SUM(OSRRefT22_10x_0)</f>
        <v>13800</v>
      </c>
      <c r="U61" s="1"/>
      <c r="V61" s="5">
        <f t="shared" si="33"/>
        <v>0.23918054664887256</v>
      </c>
      <c r="W61" s="1"/>
      <c r="X61" s="1">
        <f t="shared" si="34"/>
        <v>0</v>
      </c>
      <c r="Y61" s="1"/>
      <c r="Z61" s="5">
        <f t="shared" si="35"/>
        <v>0</v>
      </c>
    </row>
    <row r="62" spans="1:26" s="24" customFormat="1" hidden="1" outlineLevel="2" x14ac:dyDescent="0.3">
      <c r="A62" s="27"/>
      <c r="B62" s="11" t="str">
        <f>CONCATENATE("          ", "6273", " - ", "RENT")</f>
        <v xml:space="preserve">          6273 - RENT</v>
      </c>
      <c r="C62" s="11"/>
      <c r="D62" s="6">
        <v>6900</v>
      </c>
      <c r="E62" s="2"/>
      <c r="F62" s="7">
        <f t="shared" si="28"/>
        <v>0.19694484317053795</v>
      </c>
      <c r="G62" s="2"/>
      <c r="H62" s="6">
        <v>6900</v>
      </c>
      <c r="I62" s="2"/>
      <c r="J62" s="7">
        <f t="shared" si="29"/>
        <v>0.2595936794582393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13800</v>
      </c>
      <c r="Q62" s="2"/>
      <c r="R62" s="7">
        <f t="shared" si="32"/>
        <v>0.20644447855266265</v>
      </c>
      <c r="S62" s="2"/>
      <c r="T62" s="6">
        <v>13800</v>
      </c>
      <c r="U62" s="2"/>
      <c r="V62" s="7">
        <f t="shared" si="33"/>
        <v>0.23918054664887256</v>
      </c>
      <c r="W62" s="2"/>
      <c r="X62" s="6">
        <f t="shared" si="34"/>
        <v>0</v>
      </c>
      <c r="Y62" s="2"/>
      <c r="Z62" s="7">
        <f t="shared" si="35"/>
        <v>0</v>
      </c>
    </row>
    <row r="63" spans="1:26" s="28" customFormat="1" outlineLevel="1" collapsed="1" x14ac:dyDescent="0.3">
      <c r="A63" s="29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SUM(OSRRefD22_11x_0)</f>
        <v>772.82</v>
      </c>
      <c r="E63" s="1"/>
      <c r="F63" s="5">
        <f t="shared" si="28"/>
        <v>2.2058393289718137E-2</v>
      </c>
      <c r="G63" s="1"/>
      <c r="H63" s="1">
        <f>SUM(OSRRefH22_11x_0)</f>
        <v>115</v>
      </c>
      <c r="I63" s="1"/>
      <c r="J63" s="5">
        <f t="shared" si="29"/>
        <v>4.3265613243039878E-3</v>
      </c>
      <c r="K63" s="1"/>
      <c r="L63" s="1">
        <f t="shared" si="30"/>
        <v>657.82</v>
      </c>
      <c r="M63" s="1"/>
      <c r="N63" s="5">
        <f t="shared" si="31"/>
        <v>5.720173913043479</v>
      </c>
      <c r="O63" s="14"/>
      <c r="P63" s="1">
        <f>SUM(OSRRefP22_11x_0)</f>
        <v>772.82</v>
      </c>
      <c r="Q63" s="1"/>
      <c r="R63" s="5">
        <f t="shared" si="32"/>
        <v>1.1561189993845563E-2</v>
      </c>
      <c r="S63" s="1"/>
      <c r="T63" s="1">
        <f>SUM(OSRRefT22_11x_0)</f>
        <v>230</v>
      </c>
      <c r="U63" s="1"/>
      <c r="V63" s="5">
        <f t="shared" si="33"/>
        <v>3.986342444147876E-3</v>
      </c>
      <c r="W63" s="1"/>
      <c r="X63" s="1">
        <f t="shared" si="34"/>
        <v>542.82000000000005</v>
      </c>
      <c r="Y63" s="1"/>
      <c r="Z63" s="5">
        <f t="shared" si="35"/>
        <v>2.3600869565217395</v>
      </c>
    </row>
    <row r="64" spans="1:26" s="24" customFormat="1" hidden="1" outlineLevel="2" x14ac:dyDescent="0.3">
      <c r="A64" s="27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28"/>
        <v>0</v>
      </c>
      <c r="G64" s="2"/>
      <c r="H64" s="6">
        <v>115</v>
      </c>
      <c r="I64" s="2"/>
      <c r="J64" s="7">
        <f t="shared" si="29"/>
        <v>4.3265613243039878E-3</v>
      </c>
      <c r="K64" s="2"/>
      <c r="L64" s="6">
        <f t="shared" si="30"/>
        <v>-115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230</v>
      </c>
      <c r="U64" s="2"/>
      <c r="V64" s="7">
        <f t="shared" si="33"/>
        <v>3.986342444147876E-3</v>
      </c>
      <c r="W64" s="2"/>
      <c r="X64" s="6">
        <f t="shared" si="34"/>
        <v>-230</v>
      </c>
      <c r="Y64" s="2"/>
      <c r="Z64" s="7">
        <f t="shared" si="35"/>
        <v>-1</v>
      </c>
    </row>
    <row r="65" spans="1:26" s="24" customFormat="1" hidden="1" outlineLevel="2" x14ac:dyDescent="0.3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6">
        <v>772.82</v>
      </c>
      <c r="E65" s="2"/>
      <c r="F65" s="7">
        <f t="shared" si="28"/>
        <v>2.2058393289718137E-2</v>
      </c>
      <c r="G65" s="2"/>
      <c r="H65" s="6"/>
      <c r="I65" s="2"/>
      <c r="J65" s="7">
        <f t="shared" si="29"/>
        <v>0</v>
      </c>
      <c r="K65" s="2"/>
      <c r="L65" s="6">
        <f t="shared" si="30"/>
        <v>772.82</v>
      </c>
      <c r="M65" s="2"/>
      <c r="N65" s="7">
        <f t="shared" si="31"/>
        <v>0</v>
      </c>
      <c r="O65" s="11"/>
      <c r="P65" s="6">
        <v>772.82</v>
      </c>
      <c r="Q65" s="2"/>
      <c r="R65" s="7">
        <f t="shared" si="32"/>
        <v>1.1561189993845563E-2</v>
      </c>
      <c r="S65" s="2"/>
      <c r="T65" s="6">
        <v>0</v>
      </c>
      <c r="U65" s="2"/>
      <c r="V65" s="7">
        <f t="shared" si="33"/>
        <v>0</v>
      </c>
      <c r="W65" s="2"/>
      <c r="X65" s="6">
        <f t="shared" si="34"/>
        <v>772.82</v>
      </c>
      <c r="Y65" s="2"/>
      <c r="Z65" s="7">
        <f t="shared" si="35"/>
        <v>0</v>
      </c>
    </row>
    <row r="66" spans="1:26" s="28" customFormat="1" outlineLevel="1" collapsed="1" x14ac:dyDescent="0.3">
      <c r="A66" s="29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SUM(OSRRefD22_12x_0)</f>
        <v>162.72</v>
      </c>
      <c r="E66" s="1"/>
      <c r="F66" s="5">
        <f t="shared" ref="F66:F68" si="36">IF(D$12=0,0,D66/D$12)</f>
        <v>4.6444731711173821E-3</v>
      </c>
      <c r="G66" s="1"/>
      <c r="H66" s="1">
        <f>SUM(OSRRefH22_12x_0)</f>
        <v>60</v>
      </c>
      <c r="I66" s="1"/>
      <c r="J66" s="5">
        <f t="shared" ref="J66:J68" si="37">IF(H$12=0,0,H66/H$12)</f>
        <v>2.257336343115124E-3</v>
      </c>
      <c r="K66" s="1"/>
      <c r="L66" s="1">
        <f t="shared" ref="L66:L68" si="38">+D66-H66</f>
        <v>102.72</v>
      </c>
      <c r="M66" s="1"/>
      <c r="N66" s="5">
        <f t="shared" ref="N66:N68" si="39">IF(H66=0,0,L66/H66)</f>
        <v>1.712</v>
      </c>
      <c r="O66" s="14"/>
      <c r="P66" s="1">
        <f>SUM(OSRRefP22_12x_0)</f>
        <v>318.31</v>
      </c>
      <c r="Q66" s="1"/>
      <c r="R66" s="5">
        <f t="shared" ref="R66:R68" si="40">IF(P$12=0,0,P66/P$12)</f>
        <v>4.7618363744998584E-3</v>
      </c>
      <c r="S66" s="1"/>
      <c r="T66" s="1">
        <f>SUM(OSRRefT22_12x_0)</f>
        <v>120</v>
      </c>
      <c r="U66" s="1"/>
      <c r="V66" s="5">
        <f t="shared" ref="V66:V68" si="41">IF(T$12=0,0,T66/T$12)</f>
        <v>2.0798308404249787E-3</v>
      </c>
      <c r="W66" s="1"/>
      <c r="X66" s="1">
        <f t="shared" ref="X66:X68" si="42">+P66-T66</f>
        <v>198.31</v>
      </c>
      <c r="Y66" s="1"/>
      <c r="Z66" s="5">
        <f t="shared" ref="Z66:Z68" si="43">IF(T66=0,0,X66/T66)</f>
        <v>1.6525833333333333</v>
      </c>
    </row>
    <row r="67" spans="1:26" s="24" customFormat="1" hidden="1" outlineLevel="2" x14ac:dyDescent="0.3">
      <c r="A67" s="27"/>
      <c r="B67" s="11" t="str">
        <f>CONCATENATE("          ", "6284", " - ", "TRASH REMOVAL EXPENSE")</f>
        <v xml:space="preserve">          6284 - TRASH REMOVAL EXPENSE</v>
      </c>
      <c r="C67" s="11"/>
      <c r="D67" s="6">
        <v>149.69999999999999</v>
      </c>
      <c r="E67" s="2"/>
      <c r="F67" s="7">
        <f t="shared" si="36"/>
        <v>4.2728468148738449E-3</v>
      </c>
      <c r="G67" s="2"/>
      <c r="H67" s="6">
        <v>60</v>
      </c>
      <c r="I67" s="2"/>
      <c r="J67" s="7">
        <f t="shared" si="37"/>
        <v>2.257336343115124E-3</v>
      </c>
      <c r="K67" s="2"/>
      <c r="L67" s="6">
        <f t="shared" si="38"/>
        <v>89.699999999999989</v>
      </c>
      <c r="M67" s="2"/>
      <c r="N67" s="7">
        <f t="shared" si="39"/>
        <v>1.4949999999999999</v>
      </c>
      <c r="O67" s="11"/>
      <c r="P67" s="6">
        <v>292.27</v>
      </c>
      <c r="Q67" s="2"/>
      <c r="R67" s="7">
        <f t="shared" si="40"/>
        <v>4.3722846193178771E-3</v>
      </c>
      <c r="S67" s="2"/>
      <c r="T67" s="6">
        <v>120</v>
      </c>
      <c r="U67" s="2"/>
      <c r="V67" s="7">
        <f t="shared" si="41"/>
        <v>2.0798308404249787E-3</v>
      </c>
      <c r="W67" s="2"/>
      <c r="X67" s="6">
        <f t="shared" si="42"/>
        <v>172.26999999999998</v>
      </c>
      <c r="Y67" s="2"/>
      <c r="Z67" s="7">
        <f t="shared" si="43"/>
        <v>1.4355833333333332</v>
      </c>
    </row>
    <row r="68" spans="1:26" s="24" customFormat="1" hidden="1" outlineLevel="2" x14ac:dyDescent="0.3">
      <c r="A68" s="27"/>
      <c r="B68" s="11" t="str">
        <f>CONCATENATE("          ", "6285", " - ", "JANITORIAL SERVICES")</f>
        <v xml:space="preserve">          6285 - JANITORIAL SERVICES</v>
      </c>
      <c r="C68" s="11"/>
      <c r="D68" s="6">
        <v>13.02</v>
      </c>
      <c r="E68" s="2"/>
      <c r="F68" s="7">
        <f t="shared" si="36"/>
        <v>3.716263562435368E-4</v>
      </c>
      <c r="G68" s="2"/>
      <c r="H68" s="6"/>
      <c r="I68" s="2"/>
      <c r="J68" s="7">
        <f t="shared" si="37"/>
        <v>0</v>
      </c>
      <c r="K68" s="2"/>
      <c r="L68" s="6">
        <f t="shared" si="38"/>
        <v>13.02</v>
      </c>
      <c r="M68" s="2"/>
      <c r="N68" s="7">
        <f t="shared" si="39"/>
        <v>0</v>
      </c>
      <c r="O68" s="11"/>
      <c r="P68" s="6">
        <v>26.04</v>
      </c>
      <c r="Q68" s="2"/>
      <c r="R68" s="7">
        <f t="shared" si="40"/>
        <v>3.8955175518198083E-4</v>
      </c>
      <c r="S68" s="2"/>
      <c r="T68" s="6"/>
      <c r="U68" s="2"/>
      <c r="V68" s="7">
        <f t="shared" si="41"/>
        <v>0</v>
      </c>
      <c r="W68" s="2"/>
      <c r="X68" s="6">
        <f t="shared" si="42"/>
        <v>26.04</v>
      </c>
      <c r="Y68" s="2"/>
      <c r="Z68" s="7">
        <f t="shared" si="43"/>
        <v>0</v>
      </c>
    </row>
    <row r="69" spans="1:26" s="28" customFormat="1" outlineLevel="1" collapsed="1" x14ac:dyDescent="0.3">
      <c r="A69" s="29"/>
      <c r="B69" s="14" t="str">
        <f>CONCATENATE("     ","Subscriptions &amp; Dues                              ")</f>
        <v xml:space="preserve">     Subscriptions &amp; Dues                              </v>
      </c>
      <c r="C69" s="14"/>
      <c r="D69" s="1">
        <f>SUM(OSRRefD22_13x_0)</f>
        <v>0</v>
      </c>
      <c r="E69" s="1"/>
      <c r="F69" s="5">
        <f t="shared" ref="F69:F71" si="44">IF(D$12=0,0,D69/D$12)</f>
        <v>0</v>
      </c>
      <c r="G69" s="1"/>
      <c r="H69" s="1">
        <f>SUM(OSRRefH22_13x_0)</f>
        <v>61</v>
      </c>
      <c r="I69" s="1"/>
      <c r="J69" s="5">
        <f t="shared" ref="J69:J71" si="45">IF(H$12=0,0,H69/H$12)</f>
        <v>2.2949586155003761E-3</v>
      </c>
      <c r="K69" s="1"/>
      <c r="L69" s="1">
        <f t="shared" ref="L69:L71" si="46">+D69-H69</f>
        <v>-61</v>
      </c>
      <c r="M69" s="1"/>
      <c r="N69" s="5">
        <f t="shared" ref="N69:N71" si="47">IF(H69=0,0,L69/H69)</f>
        <v>-1</v>
      </c>
      <c r="O69" s="14"/>
      <c r="P69" s="1">
        <f>SUM(OSRRefP22_13x_0)</f>
        <v>0</v>
      </c>
      <c r="Q69" s="1"/>
      <c r="R69" s="5">
        <f t="shared" ref="R69:R71" si="48">IF(P$12=0,0,P69/P$12)</f>
        <v>0</v>
      </c>
      <c r="S69" s="1"/>
      <c r="T69" s="1">
        <f>SUM(OSRRefT22_13x_0)</f>
        <v>537</v>
      </c>
      <c r="U69" s="1"/>
      <c r="V69" s="5">
        <f t="shared" ref="V69:V71" si="49">IF(T$12=0,0,T69/T$12)</f>
        <v>9.3072430109017792E-3</v>
      </c>
      <c r="W69" s="1"/>
      <c r="X69" s="1">
        <f t="shared" ref="X69:X71" si="50">+P69-T69</f>
        <v>-537</v>
      </c>
      <c r="Y69" s="1"/>
      <c r="Z69" s="5">
        <f t="shared" ref="Z69:Z71" si="51">IF(T69=0,0,X69/T69)</f>
        <v>-1</v>
      </c>
    </row>
    <row r="70" spans="1:26" s="24" customFormat="1" hidden="1" outlineLevel="2" x14ac:dyDescent="0.3">
      <c r="A70" s="27"/>
      <c r="B70" s="11" t="str">
        <f>CONCATENATE("          ", "6258", " - ", "MEMBERSHIP DUES")</f>
        <v xml:space="preserve">          6258 - MEMBERSHIP DUES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/>
      <c r="Q70" s="2"/>
      <c r="R70" s="7">
        <f t="shared" si="48"/>
        <v>0</v>
      </c>
      <c r="S70" s="2"/>
      <c r="T70" s="6">
        <v>395</v>
      </c>
      <c r="U70" s="2"/>
      <c r="V70" s="7">
        <f t="shared" si="49"/>
        <v>6.8461098497322216E-3</v>
      </c>
      <c r="W70" s="2"/>
      <c r="X70" s="6">
        <f t="shared" si="50"/>
        <v>-395</v>
      </c>
      <c r="Y70" s="2"/>
      <c r="Z70" s="7">
        <f t="shared" si="51"/>
        <v>-1</v>
      </c>
    </row>
    <row r="71" spans="1:26" s="24" customFormat="1" hidden="1" outlineLevel="2" x14ac:dyDescent="0.3">
      <c r="A71" s="27"/>
      <c r="B71" s="11" t="str">
        <f>CONCATENATE("          ", "6275", " - ", "SUBSCRIPTIONS")</f>
        <v xml:space="preserve">          6275 - SUBSCRIPTIONS</v>
      </c>
      <c r="C71" s="11"/>
      <c r="D71" s="6"/>
      <c r="E71" s="2"/>
      <c r="F71" s="7">
        <f t="shared" si="44"/>
        <v>0</v>
      </c>
      <c r="G71" s="2"/>
      <c r="H71" s="6">
        <v>61</v>
      </c>
      <c r="I71" s="2"/>
      <c r="J71" s="7">
        <f t="shared" si="45"/>
        <v>2.2949586155003761E-3</v>
      </c>
      <c r="K71" s="2"/>
      <c r="L71" s="6">
        <f t="shared" si="46"/>
        <v>-61</v>
      </c>
      <c r="M71" s="2"/>
      <c r="N71" s="7">
        <f t="shared" si="47"/>
        <v>-1</v>
      </c>
      <c r="O71" s="11"/>
      <c r="P71" s="6"/>
      <c r="Q71" s="2"/>
      <c r="R71" s="7">
        <f t="shared" si="48"/>
        <v>0</v>
      </c>
      <c r="S71" s="2"/>
      <c r="T71" s="6">
        <v>142</v>
      </c>
      <c r="U71" s="2"/>
      <c r="V71" s="7">
        <f t="shared" si="49"/>
        <v>2.4611331611695581E-3</v>
      </c>
      <c r="W71" s="2"/>
      <c r="X71" s="6">
        <f t="shared" si="50"/>
        <v>-142</v>
      </c>
      <c r="Y71" s="2"/>
      <c r="Z71" s="7">
        <f t="shared" si="51"/>
        <v>-1</v>
      </c>
    </row>
    <row r="72" spans="1:26" s="28" customFormat="1" outlineLevel="1" collapsed="1" x14ac:dyDescent="0.3">
      <c r="A72" s="29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SUM(OSRRefD22_14x_0)</f>
        <v>115.64</v>
      </c>
      <c r="E72" s="1"/>
      <c r="F72" s="5">
        <f t="shared" ref="F72:F75" si="52">IF(D$12=0,0,D72/D$12)</f>
        <v>3.3006814006146389E-3</v>
      </c>
      <c r="G72" s="1"/>
      <c r="H72" s="1">
        <f>SUM(OSRRefH22_14x_0)</f>
        <v>30</v>
      </c>
      <c r="I72" s="1"/>
      <c r="J72" s="5">
        <f t="shared" ref="J72:J75" si="53">IF(H$12=0,0,H72/H$12)</f>
        <v>1.128668171557562E-3</v>
      </c>
      <c r="K72" s="1"/>
      <c r="L72" s="1">
        <f t="shared" ref="L72:L75" si="54">+D72-H72</f>
        <v>85.64</v>
      </c>
      <c r="M72" s="1"/>
      <c r="N72" s="5">
        <f t="shared" ref="N72:N75" si="55">IF(H72=0,0,L72/H72)</f>
        <v>2.8546666666666667</v>
      </c>
      <c r="O72" s="14"/>
      <c r="P72" s="1">
        <f>SUM(OSRRefP22_14x_0)</f>
        <v>537.54999999999995</v>
      </c>
      <c r="Q72" s="1"/>
      <c r="R72" s="5">
        <f t="shared" ref="R72:R75" si="56">IF(P$12=0,0,P72/P$12)</f>
        <v>8.0416108294191161E-3</v>
      </c>
      <c r="S72" s="1"/>
      <c r="T72" s="1">
        <f>SUM(OSRRefT22_14x_0)</f>
        <v>100</v>
      </c>
      <c r="U72" s="1"/>
      <c r="V72" s="5">
        <f t="shared" ref="V72:V75" si="57">IF(T$12=0,0,T72/T$12)</f>
        <v>1.7331923670208156E-3</v>
      </c>
      <c r="W72" s="1"/>
      <c r="X72" s="1">
        <f t="shared" ref="X72:X75" si="58">+P72-T72</f>
        <v>437.54999999999995</v>
      </c>
      <c r="Y72" s="1"/>
      <c r="Z72" s="5">
        <f t="shared" ref="Z72:Z75" si="59">IF(T72=0,0,X72/T72)</f>
        <v>4.3754999999999997</v>
      </c>
    </row>
    <row r="73" spans="1:26" s="24" customFormat="1" hidden="1" outlineLevel="2" x14ac:dyDescent="0.3">
      <c r="A73" s="27"/>
      <c r="B73" s="11" t="str">
        <f>CONCATENATE("          ", "6237", " - ", "JANITORIAL SUPPLIES")</f>
        <v xml:space="preserve">          6237 - JANITORIAL SUPPLIES</v>
      </c>
      <c r="C73" s="11"/>
      <c r="D73" s="6">
        <v>77.17</v>
      </c>
      <c r="E73" s="2"/>
      <c r="F73" s="7">
        <f t="shared" si="52"/>
        <v>2.2026425431116541E-3</v>
      </c>
      <c r="G73" s="2"/>
      <c r="H73" s="6">
        <v>10</v>
      </c>
      <c r="I73" s="2"/>
      <c r="J73" s="7">
        <f t="shared" si="53"/>
        <v>3.7622272385252068E-4</v>
      </c>
      <c r="K73" s="2"/>
      <c r="L73" s="6">
        <f t="shared" si="54"/>
        <v>67.17</v>
      </c>
      <c r="M73" s="2"/>
      <c r="N73" s="7">
        <f t="shared" si="55"/>
        <v>6.7170000000000005</v>
      </c>
      <c r="O73" s="11"/>
      <c r="P73" s="6">
        <v>77.17</v>
      </c>
      <c r="Q73" s="2"/>
      <c r="R73" s="7">
        <f t="shared" si="56"/>
        <v>1.1544435079644186E-3</v>
      </c>
      <c r="S73" s="2"/>
      <c r="T73" s="6">
        <v>60</v>
      </c>
      <c r="U73" s="2"/>
      <c r="V73" s="7">
        <f t="shared" si="57"/>
        <v>1.0399154202124894E-3</v>
      </c>
      <c r="W73" s="2"/>
      <c r="X73" s="6">
        <f t="shared" si="58"/>
        <v>17.170000000000002</v>
      </c>
      <c r="Y73" s="2"/>
      <c r="Z73" s="7">
        <f t="shared" si="59"/>
        <v>0.28616666666666668</v>
      </c>
    </row>
    <row r="74" spans="1:26" s="24" customFormat="1" hidden="1" outlineLevel="2" x14ac:dyDescent="0.3">
      <c r="A74" s="27"/>
      <c r="B74" s="11" t="str">
        <f>CONCATENATE("          ", "6241", " - ", "OFFICE EXPENSE")</f>
        <v xml:space="preserve">          6241 - OFFICE EXPENSE</v>
      </c>
      <c r="C74" s="11"/>
      <c r="D74" s="6">
        <v>38.47</v>
      </c>
      <c r="E74" s="2"/>
      <c r="F74" s="7">
        <f t="shared" si="52"/>
        <v>1.0980388575029848E-3</v>
      </c>
      <c r="G74" s="2"/>
      <c r="H74" s="6">
        <v>20</v>
      </c>
      <c r="I74" s="2"/>
      <c r="J74" s="7">
        <f t="shared" si="53"/>
        <v>7.5244544770504136E-4</v>
      </c>
      <c r="K74" s="2"/>
      <c r="L74" s="6">
        <f t="shared" si="54"/>
        <v>18.47</v>
      </c>
      <c r="M74" s="2"/>
      <c r="N74" s="7">
        <f t="shared" si="55"/>
        <v>0.92349999999999999</v>
      </c>
      <c r="O74" s="11"/>
      <c r="P74" s="6">
        <v>45.06</v>
      </c>
      <c r="Q74" s="2"/>
      <c r="R74" s="7">
        <f t="shared" si="56"/>
        <v>6.7408610170891154E-4</v>
      </c>
      <c r="S74" s="2"/>
      <c r="T74" s="6">
        <v>40</v>
      </c>
      <c r="U74" s="2"/>
      <c r="V74" s="7">
        <f t="shared" si="57"/>
        <v>6.9327694680832623E-4</v>
      </c>
      <c r="W74" s="2"/>
      <c r="X74" s="6">
        <f t="shared" si="58"/>
        <v>5.0600000000000023</v>
      </c>
      <c r="Y74" s="2"/>
      <c r="Z74" s="7">
        <f t="shared" si="59"/>
        <v>0.12650000000000006</v>
      </c>
    </row>
    <row r="75" spans="1:26" s="24" customFormat="1" hidden="1" outlineLevel="2" x14ac:dyDescent="0.3">
      <c r="A75" s="27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>
        <v>415.32</v>
      </c>
      <c r="Q75" s="2"/>
      <c r="R75" s="7">
        <f t="shared" si="56"/>
        <v>6.2130812197457863E-3</v>
      </c>
      <c r="S75" s="2"/>
      <c r="T75" s="6"/>
      <c r="U75" s="2"/>
      <c r="V75" s="7">
        <f t="shared" si="57"/>
        <v>0</v>
      </c>
      <c r="W75" s="2"/>
      <c r="X75" s="6">
        <f t="shared" si="58"/>
        <v>415.32</v>
      </c>
      <c r="Y75" s="2"/>
      <c r="Z75" s="7">
        <f t="shared" si="59"/>
        <v>0</v>
      </c>
    </row>
    <row r="76" spans="1:26" s="28" customFormat="1" outlineLevel="1" collapsed="1" x14ac:dyDescent="0.3">
      <c r="A76" s="29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SUM(OSRRefD22_15x_0)</f>
        <v>297.83999999999997</v>
      </c>
      <c r="E76" s="1"/>
      <c r="F76" s="5">
        <f t="shared" ref="F76:F80" si="60">IF(D$12=0,0,D76/D$12)</f>
        <v>8.501166969552611E-3</v>
      </c>
      <c r="G76" s="1"/>
      <c r="H76" s="1">
        <f>SUM(OSRRefH22_15x_0)</f>
        <v>250</v>
      </c>
      <c r="I76" s="1"/>
      <c r="J76" s="5">
        <f t="shared" ref="J76:J80" si="61">IF(H$12=0,0,H76/H$12)</f>
        <v>9.4055680963130179E-3</v>
      </c>
      <c r="K76" s="1"/>
      <c r="L76" s="1">
        <f t="shared" ref="L76:L80" si="62">+D76-H76</f>
        <v>47.839999999999975</v>
      </c>
      <c r="M76" s="1"/>
      <c r="N76" s="5">
        <f t="shared" ref="N76:N80" si="63">IF(H76=0,0,L76/H76)</f>
        <v>0.19135999999999989</v>
      </c>
      <c r="O76" s="14"/>
      <c r="P76" s="1">
        <f>SUM(OSRRefP22_15x_0)</f>
        <v>690.68</v>
      </c>
      <c r="Q76" s="1"/>
      <c r="R76" s="5">
        <f t="shared" ref="R76:R80" si="64">IF(P$12=0,0,P76/P$12)</f>
        <v>1.0332396554112538E-2</v>
      </c>
      <c r="S76" s="1"/>
      <c r="T76" s="1">
        <f>SUM(OSRRefT22_15x_0)</f>
        <v>500</v>
      </c>
      <c r="U76" s="1"/>
      <c r="V76" s="5">
        <f t="shared" ref="V76:V80" si="65">IF(T$12=0,0,T76/T$12)</f>
        <v>8.6659618351040777E-3</v>
      </c>
      <c r="W76" s="1"/>
      <c r="X76" s="1">
        <f t="shared" ref="X76:X80" si="66">+P76-T76</f>
        <v>190.67999999999995</v>
      </c>
      <c r="Y76" s="1"/>
      <c r="Z76" s="5">
        <f t="shared" ref="Z76:Z80" si="67">IF(T76=0,0,X76/T76)</f>
        <v>0.38135999999999992</v>
      </c>
    </row>
    <row r="77" spans="1:26" s="24" customFormat="1" hidden="1" outlineLevel="2" x14ac:dyDescent="0.3">
      <c r="A77" s="27"/>
      <c r="B77" s="11" t="str">
        <f>CONCATENATE("          ", "6309", " - ", "TELEPHONE")</f>
        <v xml:space="preserve">          6309 - TELEPHONE</v>
      </c>
      <c r="C77" s="11"/>
      <c r="D77" s="6">
        <v>297.83999999999997</v>
      </c>
      <c r="E77" s="2"/>
      <c r="F77" s="7">
        <f t="shared" si="60"/>
        <v>8.501166969552611E-3</v>
      </c>
      <c r="G77" s="2"/>
      <c r="H77" s="6">
        <v>250</v>
      </c>
      <c r="I77" s="2"/>
      <c r="J77" s="7">
        <f t="shared" si="61"/>
        <v>9.4055680963130179E-3</v>
      </c>
      <c r="K77" s="2"/>
      <c r="L77" s="6">
        <f t="shared" si="62"/>
        <v>47.839999999999975</v>
      </c>
      <c r="M77" s="2"/>
      <c r="N77" s="7">
        <f t="shared" si="63"/>
        <v>0.19135999999999989</v>
      </c>
      <c r="O77" s="11"/>
      <c r="P77" s="6">
        <v>690.68</v>
      </c>
      <c r="Q77" s="2"/>
      <c r="R77" s="7">
        <f t="shared" si="64"/>
        <v>1.0332396554112538E-2</v>
      </c>
      <c r="S77" s="2"/>
      <c r="T77" s="6">
        <v>500</v>
      </c>
      <c r="U77" s="2"/>
      <c r="V77" s="7">
        <f t="shared" si="65"/>
        <v>8.6659618351040777E-3</v>
      </c>
      <c r="W77" s="2"/>
      <c r="X77" s="6">
        <f t="shared" si="66"/>
        <v>190.67999999999995</v>
      </c>
      <c r="Y77" s="2"/>
      <c r="Z77" s="7">
        <f t="shared" si="67"/>
        <v>0.38135999999999992</v>
      </c>
    </row>
    <row r="78" spans="1:26" s="28" customFormat="1" outlineLevel="1" collapsed="1" x14ac:dyDescent="0.3">
      <c r="A78" s="29"/>
      <c r="B78" s="14" t="str">
        <f>CONCATENATE("     ","Travel                                            ")</f>
        <v xml:space="preserve">     Travel                                            </v>
      </c>
      <c r="C78" s="14"/>
      <c r="D78" s="1">
        <f>SUM(OSRRefD22_16x_0)</f>
        <v>0</v>
      </c>
      <c r="E78" s="1"/>
      <c r="F78" s="5">
        <f t="shared" si="60"/>
        <v>0</v>
      </c>
      <c r="G78" s="1"/>
      <c r="H78" s="1">
        <f>SUM(OSRRefH22_16x_0)</f>
        <v>25</v>
      </c>
      <c r="I78" s="1"/>
      <c r="J78" s="5">
        <f t="shared" si="61"/>
        <v>9.4055680963130172E-4</v>
      </c>
      <c r="K78" s="1"/>
      <c r="L78" s="1">
        <f t="shared" si="62"/>
        <v>-25</v>
      </c>
      <c r="M78" s="1"/>
      <c r="N78" s="5">
        <f t="shared" si="63"/>
        <v>-1</v>
      </c>
      <c r="O78" s="14"/>
      <c r="P78" s="1">
        <f>SUM(OSRRefP22_16x_0)</f>
        <v>147.82</v>
      </c>
      <c r="Q78" s="1"/>
      <c r="R78" s="5">
        <f t="shared" si="64"/>
        <v>2.2113494796851155E-3</v>
      </c>
      <c r="S78" s="1"/>
      <c r="T78" s="1">
        <f>SUM(OSRRefT22_16x_0)</f>
        <v>50</v>
      </c>
      <c r="U78" s="1"/>
      <c r="V78" s="5">
        <f t="shared" si="65"/>
        <v>8.6659618351040779E-4</v>
      </c>
      <c r="W78" s="1"/>
      <c r="X78" s="1">
        <f t="shared" si="66"/>
        <v>97.82</v>
      </c>
      <c r="Y78" s="1"/>
      <c r="Z78" s="5">
        <f t="shared" si="67"/>
        <v>1.9563999999999999</v>
      </c>
    </row>
    <row r="79" spans="1:26" s="24" customFormat="1" hidden="1" outlineLevel="2" x14ac:dyDescent="0.3">
      <c r="A79" s="27"/>
      <c r="B79" s="11" t="str">
        <f>CONCATENATE("          ", "6294", " - ", "TRAVEL OPERATIONAL")</f>
        <v xml:space="preserve">          6294 - TRAVEL OPERATIONAL</v>
      </c>
      <c r="C79" s="11"/>
      <c r="D79" s="6"/>
      <c r="E79" s="2"/>
      <c r="F79" s="7">
        <f t="shared" si="60"/>
        <v>0</v>
      </c>
      <c r="G79" s="2"/>
      <c r="H79" s="6"/>
      <c r="I79" s="2"/>
      <c r="J79" s="7">
        <f t="shared" si="61"/>
        <v>0</v>
      </c>
      <c r="K79" s="2"/>
      <c r="L79" s="6">
        <f t="shared" si="62"/>
        <v>0</v>
      </c>
      <c r="M79" s="2"/>
      <c r="N79" s="7">
        <f t="shared" si="63"/>
        <v>0</v>
      </c>
      <c r="O79" s="11"/>
      <c r="P79" s="6">
        <v>147.82</v>
      </c>
      <c r="Q79" s="2"/>
      <c r="R79" s="7">
        <f t="shared" si="64"/>
        <v>2.2113494796851155E-3</v>
      </c>
      <c r="S79" s="2"/>
      <c r="T79" s="6"/>
      <c r="U79" s="2"/>
      <c r="V79" s="7">
        <f t="shared" si="65"/>
        <v>0</v>
      </c>
      <c r="W79" s="2"/>
      <c r="X79" s="6">
        <f t="shared" si="66"/>
        <v>147.82</v>
      </c>
      <c r="Y79" s="2"/>
      <c r="Z79" s="7">
        <f t="shared" si="67"/>
        <v>0</v>
      </c>
    </row>
    <row r="80" spans="1:26" s="24" customFormat="1" hidden="1" outlineLevel="2" x14ac:dyDescent="0.3">
      <c r="A80" s="27"/>
      <c r="B80" s="11" t="str">
        <f>CONCATENATE("          ", "6298", " - ", "VEHICLE MILEAGE")</f>
        <v xml:space="preserve">          6298 - VEHICLE MILEAGE</v>
      </c>
      <c r="C80" s="11"/>
      <c r="D80" s="6"/>
      <c r="E80" s="2"/>
      <c r="F80" s="7">
        <f t="shared" si="60"/>
        <v>0</v>
      </c>
      <c r="G80" s="2"/>
      <c r="H80" s="6">
        <v>25</v>
      </c>
      <c r="I80" s="2"/>
      <c r="J80" s="7">
        <f t="shared" si="61"/>
        <v>9.4055680963130172E-4</v>
      </c>
      <c r="K80" s="2"/>
      <c r="L80" s="6">
        <f t="shared" si="62"/>
        <v>-25</v>
      </c>
      <c r="M80" s="2"/>
      <c r="N80" s="7">
        <f t="shared" si="63"/>
        <v>-1</v>
      </c>
      <c r="O80" s="11"/>
      <c r="P80" s="6"/>
      <c r="Q80" s="2"/>
      <c r="R80" s="7">
        <f t="shared" si="64"/>
        <v>0</v>
      </c>
      <c r="S80" s="2"/>
      <c r="T80" s="6">
        <v>50</v>
      </c>
      <c r="U80" s="2"/>
      <c r="V80" s="7">
        <f t="shared" si="65"/>
        <v>8.6659618351040779E-4</v>
      </c>
      <c r="W80" s="2"/>
      <c r="X80" s="6">
        <f t="shared" si="66"/>
        <v>-50</v>
      </c>
      <c r="Y80" s="2"/>
      <c r="Z80" s="7">
        <f t="shared" si="67"/>
        <v>-1</v>
      </c>
    </row>
    <row r="81" spans="1:26" s="28" customFormat="1" outlineLevel="1" collapsed="1" x14ac:dyDescent="0.3">
      <c r="A81" s="29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SUM(OSRRefD22_17x_0)</f>
        <v>37.29</v>
      </c>
      <c r="E81" s="1"/>
      <c r="F81" s="5">
        <f t="shared" ref="F81:F82" si="68">IF(D$12=0,0,D81/D$12)</f>
        <v>1.0643584350477334E-3</v>
      </c>
      <c r="G81" s="1"/>
      <c r="H81" s="1">
        <f>SUM(OSRRefH22_17x_0)</f>
        <v>120</v>
      </c>
      <c r="I81" s="1"/>
      <c r="J81" s="5">
        <f t="shared" ref="J81:J82" si="69">IF(H$12=0,0,H81/H$12)</f>
        <v>4.5146726862302479E-3</v>
      </c>
      <c r="K81" s="1"/>
      <c r="L81" s="1">
        <f t="shared" ref="L81:L82" si="70">+D81-H81</f>
        <v>-82.710000000000008</v>
      </c>
      <c r="M81" s="1"/>
      <c r="N81" s="5">
        <f t="shared" ref="N81:N82" si="71">IF(H81=0,0,L81/H81)</f>
        <v>-0.68925000000000003</v>
      </c>
      <c r="O81" s="14"/>
      <c r="P81" s="1">
        <f>SUM(OSRRefP22_17x_0)</f>
        <v>73.78</v>
      </c>
      <c r="Q81" s="1"/>
      <c r="R81" s="5">
        <f t="shared" ref="R81:R82" si="72">IF(P$12=0,0,P81/P$12)</f>
        <v>1.1037299730156124E-3</v>
      </c>
      <c r="S81" s="1"/>
      <c r="T81" s="1">
        <f>SUM(OSRRefT22_17x_0)</f>
        <v>240</v>
      </c>
      <c r="U81" s="1"/>
      <c r="V81" s="5">
        <f t="shared" ref="V81:V82" si="73">IF(T$12=0,0,T81/T$12)</f>
        <v>4.1596616808499574E-3</v>
      </c>
      <c r="W81" s="1"/>
      <c r="X81" s="1">
        <f t="shared" ref="X81:X82" si="74">+P81-T81</f>
        <v>-166.22</v>
      </c>
      <c r="Y81" s="1"/>
      <c r="Z81" s="5">
        <f t="shared" ref="Z81:Z82" si="75">IF(T81=0,0,X81/T81)</f>
        <v>-0.69258333333333333</v>
      </c>
    </row>
    <row r="82" spans="1:26" s="24" customFormat="1" hidden="1" outlineLevel="2" x14ac:dyDescent="0.3">
      <c r="A82" s="27"/>
      <c r="B82" s="11" t="str">
        <f>CONCATENATE("          ", "6274", " - ", "UTILITIES")</f>
        <v xml:space="preserve">          6274 - UTILITIES</v>
      </c>
      <c r="C82" s="11"/>
      <c r="D82" s="6">
        <v>37.29</v>
      </c>
      <c r="E82" s="2"/>
      <c r="F82" s="7">
        <f t="shared" si="68"/>
        <v>1.0643584350477334E-3</v>
      </c>
      <c r="G82" s="2"/>
      <c r="H82" s="6">
        <v>120</v>
      </c>
      <c r="I82" s="2"/>
      <c r="J82" s="7">
        <f t="shared" si="69"/>
        <v>4.5146726862302479E-3</v>
      </c>
      <c r="K82" s="2"/>
      <c r="L82" s="6">
        <f t="shared" si="70"/>
        <v>-82.710000000000008</v>
      </c>
      <c r="M82" s="2"/>
      <c r="N82" s="7">
        <f t="shared" si="71"/>
        <v>-0.68925000000000003</v>
      </c>
      <c r="O82" s="11"/>
      <c r="P82" s="6">
        <v>73.78</v>
      </c>
      <c r="Q82" s="2"/>
      <c r="R82" s="7">
        <f t="shared" si="72"/>
        <v>1.1037299730156124E-3</v>
      </c>
      <c r="S82" s="2"/>
      <c r="T82" s="6">
        <v>240</v>
      </c>
      <c r="U82" s="2"/>
      <c r="V82" s="7">
        <f t="shared" si="73"/>
        <v>4.1596616808499574E-3</v>
      </c>
      <c r="W82" s="2"/>
      <c r="X82" s="6">
        <f t="shared" si="74"/>
        <v>-166.22</v>
      </c>
      <c r="Y82" s="2"/>
      <c r="Z82" s="7">
        <f t="shared" si="75"/>
        <v>-0.69258333333333333</v>
      </c>
    </row>
    <row r="83" spans="1:26" s="53" customFormat="1" x14ac:dyDescent="0.3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">
      <c r="A84" s="10"/>
      <c r="B84" s="25" t="s">
        <v>293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3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10"/>
      <c r="B86" s="26" t="s">
        <v>277</v>
      </c>
      <c r="C86" s="26"/>
      <c r="D86" s="21">
        <f>+D21-D23+D84</f>
        <v>2020.4700000000012</v>
      </c>
      <c r="E86" s="13"/>
      <c r="F86" s="20">
        <f>IF(D$12=0,0,D86/D$12)</f>
        <v>5.7669731489967686E-2</v>
      </c>
      <c r="G86" s="13"/>
      <c r="H86" s="21">
        <f>+H21-H23+H84</f>
        <v>-5587.7530057692275</v>
      </c>
      <c r="I86" s="13"/>
      <c r="J86" s="20">
        <f>IF(H$12=0,0,H86/H$12)</f>
        <v>-0.21022396560456086</v>
      </c>
      <c r="K86" s="16"/>
      <c r="L86" s="21">
        <f>+D86-H86</f>
        <v>7608.2230057692286</v>
      </c>
      <c r="M86" s="16"/>
      <c r="N86" s="20">
        <f>IF(H86=0,0,L86/H86)</f>
        <v>-1.3615889961338505</v>
      </c>
      <c r="O86" s="25"/>
      <c r="P86" s="21">
        <f>+P21-P23+P84</f>
        <v>947.2300000000032</v>
      </c>
      <c r="Q86" s="13"/>
      <c r="R86" s="20">
        <f>IF(P$12=0,0,P86/P$12)</f>
        <v>1.4170319088365167E-2</v>
      </c>
      <c r="S86" s="13"/>
      <c r="T86" s="21">
        <f>+T21-T23+T84</f>
        <v>-12798.069262980775</v>
      </c>
      <c r="U86" s="13"/>
      <c r="V86" s="20">
        <f>IF(T$12=0,0,T86/T$12)</f>
        <v>-0.22181515959201994</v>
      </c>
      <c r="W86" s="16"/>
      <c r="X86" s="21">
        <f>+P86-T86</f>
        <v>13745.299262980778</v>
      </c>
      <c r="Y86" s="16"/>
      <c r="Z86" s="20">
        <f>IF(T86=0,0,X86/T86)</f>
        <v>-1.0740135078609025</v>
      </c>
    </row>
    <row r="87" spans="1:26" x14ac:dyDescent="0.3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52"/>
      <c r="B88" s="10" t="s">
        <v>128</v>
      </c>
      <c r="C88" s="10"/>
      <c r="D88" s="4">
        <v>-4707.4799999999996</v>
      </c>
      <c r="E88" s="4"/>
      <c r="F88" s="12">
        <f>IF(D$12=0,0,D88/D$12)</f>
        <v>-0.13436433483020926</v>
      </c>
      <c r="G88" s="4"/>
      <c r="H88" s="4">
        <v>-4807</v>
      </c>
      <c r="I88" s="4"/>
      <c r="J88" s="12">
        <f>IF(H$12=0,0,H88/H$12)</f>
        <v>-0.1808502633559067</v>
      </c>
      <c r="K88" s="4"/>
      <c r="L88" s="4">
        <f>+D88-H88</f>
        <v>99.520000000000437</v>
      </c>
      <c r="M88" s="4"/>
      <c r="N88" s="12">
        <f>IF(H88=0,0,L88/H88)</f>
        <v>-2.0703141252340428E-2</v>
      </c>
      <c r="O88" s="10"/>
      <c r="P88" s="4">
        <v>9989.01</v>
      </c>
      <c r="Q88" s="4"/>
      <c r="R88" s="12">
        <f>IF(P$12=0,0,P88/P$12)</f>
        <v>0.14943304063096613</v>
      </c>
      <c r="S88" s="4"/>
      <c r="T88" s="4">
        <v>6462</v>
      </c>
      <c r="U88" s="4"/>
      <c r="V88" s="12">
        <f>IF(T$12=0,0,T88/T$12)</f>
        <v>0.1119988907568851</v>
      </c>
      <c r="W88" s="4"/>
      <c r="X88" s="4">
        <f>+P88-T88</f>
        <v>3527.01</v>
      </c>
      <c r="Y88" s="4"/>
      <c r="Z88" s="12">
        <f>IF(T88=0,0,X88/T88)</f>
        <v>0.54580779944289692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35">
      <c r="A90" s="10"/>
      <c r="B90" s="26" t="s">
        <v>126</v>
      </c>
      <c r="C90" s="26"/>
      <c r="D90" s="30">
        <f>+D86-D88</f>
        <v>6727.9500000000007</v>
      </c>
      <c r="E90" s="13"/>
      <c r="F90" s="35">
        <f>IF(D$12=0,0,D90/D$12)</f>
        <v>0.19203406632017694</v>
      </c>
      <c r="G90" s="13"/>
      <c r="H90" s="30">
        <f>+H86-H88</f>
        <v>-780.75300576922746</v>
      </c>
      <c r="I90" s="13"/>
      <c r="J90" s="35">
        <f>IF(H$12=0,0,H90/H$12)</f>
        <v>-2.9373702248654154E-2</v>
      </c>
      <c r="K90" s="16"/>
      <c r="L90" s="30">
        <f>D90-H90</f>
        <v>7508.7030057692282</v>
      </c>
      <c r="M90" s="16"/>
      <c r="N90" s="35">
        <f>IF(H90=0,0,L90/H90)</f>
        <v>-9.6172578911449325</v>
      </c>
      <c r="O90" s="25"/>
      <c r="P90" s="30">
        <f>+P86-P88</f>
        <v>-9041.779999999997</v>
      </c>
      <c r="Q90" s="13"/>
      <c r="R90" s="35">
        <f>IF(P$12=0,0,P90/P$12)</f>
        <v>-0.13526272154260097</v>
      </c>
      <c r="S90" s="13"/>
      <c r="T90" s="30">
        <f>+T86-T88</f>
        <v>-19260.069262980775</v>
      </c>
      <c r="U90" s="13"/>
      <c r="V90" s="35">
        <f>IF(T$12=0,0,T90/T$12)</f>
        <v>-0.33381405034890504</v>
      </c>
      <c r="W90" s="16"/>
      <c r="X90" s="30">
        <f>P90-T90</f>
        <v>10218.289262980777</v>
      </c>
      <c r="Y90" s="16"/>
      <c r="Z90" s="35">
        <f>IF(T90=0,0,X90/T90)</f>
        <v>-0.53054270591960218</v>
      </c>
    </row>
    <row r="91" spans="1:26" ht="15" thickTop="1" x14ac:dyDescent="0.3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294</v>
      </c>
      <c r="C93" s="26"/>
      <c r="D93" s="32">
        <f>SUM(D90:D92)</f>
        <v>6727.9500000000007</v>
      </c>
      <c r="E93" s="13"/>
      <c r="F93" s="34">
        <f>IF(D$12=0,0,D93/D$12)</f>
        <v>0.19203406632017694</v>
      </c>
      <c r="G93" s="13"/>
      <c r="H93" s="32">
        <f>SUM(H90:H92)</f>
        <v>-780.75300576922746</v>
      </c>
      <c r="I93" s="13"/>
      <c r="J93" s="34">
        <f>IF(H$12=0,0,H93/H$12)</f>
        <v>-2.9373702248654154E-2</v>
      </c>
      <c r="K93" s="16"/>
      <c r="L93" s="32">
        <f>+D93-H93</f>
        <v>7508.7030057692282</v>
      </c>
      <c r="M93" s="16"/>
      <c r="N93" s="34">
        <f>IF(H93=0,0,L93/H93)</f>
        <v>-9.6172578911449325</v>
      </c>
      <c r="O93" s="25"/>
      <c r="P93" s="32">
        <f>SUM(P90:P92)</f>
        <v>-9041.779999999997</v>
      </c>
      <c r="Q93" s="13"/>
      <c r="R93" s="34">
        <f>IF(P$12=0,0,P93/P$12)</f>
        <v>-0.13526272154260097</v>
      </c>
      <c r="S93" s="13"/>
      <c r="T93" s="32">
        <f>SUM(T90:T92)</f>
        <v>-19260.069262980775</v>
      </c>
      <c r="U93" s="13"/>
      <c r="V93" s="34">
        <f>IF(T$12=0,0,T93/T$12)</f>
        <v>-0.33381405034890504</v>
      </c>
      <c r="W93" s="16"/>
      <c r="X93" s="32">
        <f>+P93-T93</f>
        <v>10218.289262980777</v>
      </c>
      <c r="Y93" s="16"/>
      <c r="Z93" s="34">
        <f>IF(T93=0,0,X93/T93)</f>
        <v>-0.53054270591960218</v>
      </c>
    </row>
    <row r="94" spans="1:26" ht="15" thickTop="1" x14ac:dyDescent="0.3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A95" s="9"/>
      <c r="B95" s="61">
        <v>44470.835499687499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A96" s="9"/>
      <c r="B96" s="58" t="s">
        <v>56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55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218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SUM(0)</f>
        <v>0</v>
      </c>
      <c r="E18" s="22"/>
      <c r="F18" s="31">
        <f>IF(D$12=0,0,D18/D$12)</f>
        <v>0</v>
      </c>
      <c r="G18" s="22"/>
      <c r="H18" s="22">
        <f>SUM(0)</f>
        <v>0</v>
      </c>
      <c r="I18" s="22"/>
      <c r="J18" s="31">
        <f>IF(H$12=0,0,H18/H$12)</f>
        <v>0</v>
      </c>
      <c r="K18" s="4"/>
      <c r="L18" s="22">
        <f>+D18-H18</f>
        <v>0</v>
      </c>
      <c r="M18" s="4"/>
      <c r="N18" s="31">
        <f>IF(H18=0,0,L18/H18)</f>
        <v>0</v>
      </c>
      <c r="O18" s="10"/>
      <c r="P18" s="22">
        <f>SUM(0)</f>
        <v>0</v>
      </c>
      <c r="Q18" s="22"/>
      <c r="R18" s="31">
        <f>IF(P$12=0,0,P18/P$12)</f>
        <v>0</v>
      </c>
      <c r="S18" s="22"/>
      <c r="T18" s="22">
        <f>SUM(0)</f>
        <v>0</v>
      </c>
      <c r="U18" s="22"/>
      <c r="V18" s="31">
        <f>IF(T$12=0,0,T18/T$12)</f>
        <v>0</v>
      </c>
      <c r="W18" s="4"/>
      <c r="X18" s="22">
        <f>+P18-T18</f>
        <v>0</v>
      </c>
      <c r="Y18" s="4"/>
      <c r="Z18" s="31">
        <f>IF(T18=0,0,X18/T18)</f>
        <v>0</v>
      </c>
    </row>
    <row r="19" spans="1:26" s="53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277</v>
      </c>
      <c r="C22" s="26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5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6" t="s">
        <v>126</v>
      </c>
      <c r="C26" s="26"/>
      <c r="D26" s="30">
        <f>+D22-D24</f>
        <v>0</v>
      </c>
      <c r="E26" s="13"/>
      <c r="F26" s="35">
        <f>IF(D$12=0,0,D26/D$12)</f>
        <v>0</v>
      </c>
      <c r="G26" s="13"/>
      <c r="H26" s="30">
        <f>+H22-H24</f>
        <v>0</v>
      </c>
      <c r="I26" s="13"/>
      <c r="J26" s="35">
        <f>IF(H$12=0,0,H26/H$12)</f>
        <v>0</v>
      </c>
      <c r="K26" s="16"/>
      <c r="L26" s="30">
        <f>D26-H26</f>
        <v>0</v>
      </c>
      <c r="M26" s="16"/>
      <c r="N26" s="35">
        <f>IF(H26=0,0,L26/H26)</f>
        <v>0</v>
      </c>
      <c r="O26" s="25"/>
      <c r="P26" s="30">
        <f>+P22-P24</f>
        <v>0</v>
      </c>
      <c r="Q26" s="13"/>
      <c r="R26" s="35">
        <f>IF(P$12=0,0,P26/P$12)</f>
        <v>0</v>
      </c>
      <c r="S26" s="13"/>
      <c r="T26" s="30">
        <f>+T22-T24</f>
        <v>0</v>
      </c>
      <c r="U26" s="13"/>
      <c r="V26" s="35">
        <f>IF(T$12=0,0,T26/T$12)</f>
        <v>0</v>
      </c>
      <c r="W26" s="16"/>
      <c r="X26" s="30">
        <f>P26-T26</f>
        <v>0</v>
      </c>
      <c r="Y26" s="16"/>
      <c r="Z26" s="35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184</v>
      </c>
      <c r="C28" s="10"/>
      <c r="D28" s="4">
        <f>--134736.5</f>
        <v>134736.5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119736.5</v>
      </c>
      <c r="M28" s="4"/>
      <c r="N28" s="12">
        <f t="shared" ref="N28:N29" si="4">IF(H28=0,0,L28/H28)</f>
        <v>7.9824333333333337</v>
      </c>
      <c r="O28" s="10"/>
      <c r="P28" s="4">
        <f>--152858.8</f>
        <v>152858.79999999999</v>
      </c>
      <c r="Q28" s="4"/>
      <c r="R28" s="12">
        <f t="shared" ref="R28:R29" si="5">IF(P$12=0,0,P28/P$12)</f>
        <v>0</v>
      </c>
      <c r="S28" s="4"/>
      <c r="T28" s="4">
        <f t="shared" ref="T28:T29" si="6">--30000</f>
        <v>30000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122858.79999999999</v>
      </c>
      <c r="Y28" s="4"/>
      <c r="Z28" s="12">
        <f t="shared" ref="Z28:Z29" si="9">IF(T28=0,0,X28/T28)</f>
        <v>4.0952933333333332</v>
      </c>
    </row>
    <row r="29" spans="1:26" s="23" customFormat="1" x14ac:dyDescent="0.3">
      <c r="A29" s="52"/>
      <c r="B29" s="10" t="s">
        <v>82</v>
      </c>
      <c r="C29" s="10"/>
      <c r="D29" s="4">
        <f>--12034.07</f>
        <v>12034.07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-2965.9300000000003</v>
      </c>
      <c r="M29" s="4"/>
      <c r="N29" s="12">
        <f t="shared" si="4"/>
        <v>-0.19772866666666669</v>
      </c>
      <c r="O29" s="10"/>
      <c r="P29" s="4">
        <f>--22216.49</f>
        <v>22216.49</v>
      </c>
      <c r="Q29" s="4"/>
      <c r="R29" s="12">
        <f t="shared" si="5"/>
        <v>0</v>
      </c>
      <c r="S29" s="4"/>
      <c r="T29" s="4">
        <f t="shared" si="6"/>
        <v>30000</v>
      </c>
      <c r="U29" s="4"/>
      <c r="V29" s="12">
        <f t="shared" si="7"/>
        <v>0</v>
      </c>
      <c r="W29" s="4"/>
      <c r="X29" s="4">
        <f t="shared" si="8"/>
        <v>-7783.5099999999984</v>
      </c>
      <c r="Y29" s="4"/>
      <c r="Z29" s="12">
        <f t="shared" si="9"/>
        <v>-0.25945033333333328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294</v>
      </c>
      <c r="C31" s="26"/>
      <c r="D31" s="32">
        <f>SUM(D26:D30)</f>
        <v>146770.57</v>
      </c>
      <c r="E31" s="13"/>
      <c r="F31" s="34">
        <f>IF(D$12=0,0,D31/D$12)</f>
        <v>0</v>
      </c>
      <c r="G31" s="13"/>
      <c r="H31" s="32">
        <f>SUM(H26:H30)</f>
        <v>30000</v>
      </c>
      <c r="I31" s="13"/>
      <c r="J31" s="34">
        <f>IF(H$12=0,0,H31/H$12)</f>
        <v>0</v>
      </c>
      <c r="K31" s="16"/>
      <c r="L31" s="32">
        <f>+D31-H31</f>
        <v>116770.57</v>
      </c>
      <c r="M31" s="16"/>
      <c r="N31" s="34">
        <f>IF(H31=0,0,L31/H31)</f>
        <v>3.8923523333333336</v>
      </c>
      <c r="O31" s="25"/>
      <c r="P31" s="32">
        <f>SUM(P26:P30)</f>
        <v>175075.28999999998</v>
      </c>
      <c r="Q31" s="13"/>
      <c r="R31" s="34">
        <f>IF(P$12=0,0,P31/P$12)</f>
        <v>0</v>
      </c>
      <c r="S31" s="13"/>
      <c r="T31" s="32">
        <f>SUM(T26:T30)</f>
        <v>60000</v>
      </c>
      <c r="U31" s="13"/>
      <c r="V31" s="34">
        <f>IF(T$12=0,0,T31/T$12)</f>
        <v>0</v>
      </c>
      <c r="W31" s="16"/>
      <c r="X31" s="32">
        <f>+P31-T31</f>
        <v>115075.28999999998</v>
      </c>
      <c r="Y31" s="16"/>
      <c r="Z31" s="34">
        <f>IF(T31=0,0,X31/T31)</f>
        <v>1.9179214999999996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61">
        <v>44470.835504664348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8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5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8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125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55943.87</v>
      </c>
      <c r="E12" s="4"/>
      <c r="F12" s="12"/>
      <c r="G12" s="4"/>
      <c r="H12" s="4">
        <f>SUM(OSRRefH13x_0)</f>
        <v>44700</v>
      </c>
      <c r="I12" s="4"/>
      <c r="J12" s="12"/>
      <c r="K12" s="4"/>
      <c r="L12" s="4">
        <f t="shared" ref="L12:L17" si="0">+D12-H12</f>
        <v>11243.870000000003</v>
      </c>
      <c r="M12" s="4"/>
      <c r="N12" s="12">
        <f t="shared" ref="N12:N17" si="1">IF(H12=0,0,L12/H12)</f>
        <v>0.25154071588366894</v>
      </c>
      <c r="O12" s="10"/>
      <c r="P12" s="4">
        <f>SUM(OSRRefP13x_0)</f>
        <v>58475.67</v>
      </c>
      <c r="Q12" s="4"/>
      <c r="R12" s="12"/>
      <c r="S12" s="4"/>
      <c r="T12" s="4">
        <f>SUM(OSRRefT13x_0)</f>
        <v>47400</v>
      </c>
      <c r="U12" s="4"/>
      <c r="V12" s="12"/>
      <c r="W12" s="4"/>
      <c r="X12" s="4">
        <f t="shared" ref="X12:X17" si="2">+P12-T12</f>
        <v>11075.669999999998</v>
      </c>
      <c r="Y12" s="4"/>
      <c r="Z12" s="12">
        <f t="shared" ref="Z12:Z17" si="3">IF(T12=0,0,X12/T12)</f>
        <v>0.23366392405063288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--52570.47</f>
        <v>52570.47</v>
      </c>
      <c r="E13" s="2"/>
      <c r="F13" s="19"/>
      <c r="G13" s="2"/>
      <c r="H13" s="2">
        <v>35000</v>
      </c>
      <c r="I13" s="2"/>
      <c r="J13" s="19"/>
      <c r="K13" s="2"/>
      <c r="L13" s="2">
        <f t="shared" si="0"/>
        <v>17570.47</v>
      </c>
      <c r="M13" s="2"/>
      <c r="N13" s="19">
        <f t="shared" si="1"/>
        <v>0.50201342857142861</v>
      </c>
      <c r="O13" s="11"/>
      <c r="P13" s="2">
        <f>--54800.62</f>
        <v>54800.62</v>
      </c>
      <c r="Q13" s="2"/>
      <c r="R13" s="19"/>
      <c r="S13" s="2"/>
      <c r="T13" s="2">
        <v>37700</v>
      </c>
      <c r="U13" s="2"/>
      <c r="V13" s="19"/>
      <c r="W13" s="2"/>
      <c r="X13" s="2">
        <f t="shared" si="2"/>
        <v>17100.620000000003</v>
      </c>
      <c r="Y13" s="2"/>
      <c r="Z13" s="19">
        <f t="shared" si="3"/>
        <v>0.45359734748010616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--553.4</f>
        <v>553.4</v>
      </c>
      <c r="E14" s="2"/>
      <c r="F14" s="19"/>
      <c r="G14" s="2"/>
      <c r="H14" s="2">
        <v>9700</v>
      </c>
      <c r="I14" s="2"/>
      <c r="J14" s="19"/>
      <c r="K14" s="2"/>
      <c r="L14" s="2">
        <f t="shared" si="0"/>
        <v>-9146.6</v>
      </c>
      <c r="M14" s="2"/>
      <c r="N14" s="19">
        <f t="shared" si="1"/>
        <v>-0.94294845360824742</v>
      </c>
      <c r="O14" s="11"/>
      <c r="P14" s="2">
        <f>--834.85</f>
        <v>834.85</v>
      </c>
      <c r="Q14" s="2"/>
      <c r="R14" s="19"/>
      <c r="S14" s="2"/>
      <c r="T14" s="2">
        <v>9700</v>
      </c>
      <c r="U14" s="2"/>
      <c r="V14" s="19"/>
      <c r="W14" s="2"/>
      <c r="X14" s="2">
        <f t="shared" si="2"/>
        <v>-8865.15</v>
      </c>
      <c r="Y14" s="2"/>
      <c r="Z14" s="19">
        <f t="shared" si="3"/>
        <v>-0.91393298969072156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--389.5</f>
        <v>389.5</v>
      </c>
      <c r="E15" s="2"/>
      <c r="F15" s="19"/>
      <c r="G15" s="2"/>
      <c r="H15" s="2"/>
      <c r="I15" s="2"/>
      <c r="J15" s="19"/>
      <c r="K15" s="2"/>
      <c r="L15" s="2">
        <f t="shared" si="0"/>
        <v>389.5</v>
      </c>
      <c r="M15" s="2"/>
      <c r="N15" s="19">
        <f t="shared" si="1"/>
        <v>0</v>
      </c>
      <c r="O15" s="11"/>
      <c r="P15" s="2">
        <f>--389.5</f>
        <v>389.5</v>
      </c>
      <c r="Q15" s="2"/>
      <c r="R15" s="19"/>
      <c r="S15" s="2"/>
      <c r="T15" s="2"/>
      <c r="U15" s="2"/>
      <c r="V15" s="19"/>
      <c r="W15" s="2"/>
      <c r="X15" s="2">
        <f t="shared" si="2"/>
        <v>389.5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--2713.4</f>
        <v>2713.4</v>
      </c>
      <c r="E16" s="2"/>
      <c r="F16" s="19"/>
      <c r="G16" s="2"/>
      <c r="H16" s="2"/>
      <c r="I16" s="2"/>
      <c r="J16" s="19"/>
      <c r="K16" s="2"/>
      <c r="L16" s="2">
        <f t="shared" si="0"/>
        <v>2713.4</v>
      </c>
      <c r="M16" s="2"/>
      <c r="N16" s="19">
        <f t="shared" si="1"/>
        <v>0</v>
      </c>
      <c r="O16" s="11"/>
      <c r="P16" s="2">
        <f>--2733.6</f>
        <v>2733.6</v>
      </c>
      <c r="Q16" s="2"/>
      <c r="R16" s="19"/>
      <c r="S16" s="2"/>
      <c r="T16" s="2"/>
      <c r="U16" s="2"/>
      <c r="V16" s="19"/>
      <c r="W16" s="2"/>
      <c r="X16" s="2">
        <f t="shared" si="2"/>
        <v>2733.6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-282.9</f>
        <v>-282.89999999999998</v>
      </c>
      <c r="E17" s="2"/>
      <c r="F17" s="19"/>
      <c r="G17" s="2"/>
      <c r="H17" s="2"/>
      <c r="I17" s="2"/>
      <c r="J17" s="19"/>
      <c r="K17" s="2"/>
      <c r="L17" s="2">
        <f t="shared" si="0"/>
        <v>-282.89999999999998</v>
      </c>
      <c r="M17" s="2"/>
      <c r="N17" s="19">
        <f t="shared" si="1"/>
        <v>0</v>
      </c>
      <c r="O17" s="11"/>
      <c r="P17" s="2">
        <f>-282.9</f>
        <v>-282.89999999999998</v>
      </c>
      <c r="Q17" s="2"/>
      <c r="R17" s="19"/>
      <c r="S17" s="2"/>
      <c r="T17" s="2"/>
      <c r="U17" s="2"/>
      <c r="V17" s="19"/>
      <c r="W17" s="2"/>
      <c r="X17" s="2">
        <f t="shared" si="2"/>
        <v>-282.89999999999998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0</v>
      </c>
      <c r="E19" s="4"/>
      <c r="F19" s="12">
        <f t="shared" ref="F19:F20" si="4">IF(D$12=0,0,D19/D$12)</f>
        <v>0</v>
      </c>
      <c r="G19" s="4"/>
      <c r="H19" s="4">
        <f>SUM(OSRRefH16x_0)</f>
        <v>0</v>
      </c>
      <c r="I19" s="4"/>
      <c r="J19" s="12">
        <f t="shared" ref="J19:J20" si="5">IF(H$12=0,0,H19/H$12)</f>
        <v>0</v>
      </c>
      <c r="K19" s="4"/>
      <c r="L19" s="4">
        <f t="shared" ref="L19:L20" si="6">+D19-H19</f>
        <v>0</v>
      </c>
      <c r="M19" s="4"/>
      <c r="N19" s="12">
        <f t="shared" ref="N19:N20" si="7">IF(H19=0,0,L19/H19)</f>
        <v>0</v>
      </c>
      <c r="O19" s="10"/>
      <c r="P19" s="4">
        <f>SUM(OSRRefP16x_0)</f>
        <v>0</v>
      </c>
      <c r="Q19" s="4"/>
      <c r="R19" s="12">
        <f t="shared" ref="R19:R20" si="8">IF(P$12=0,0,P19/P$12)</f>
        <v>0</v>
      </c>
      <c r="S19" s="4"/>
      <c r="T19" s="4">
        <f>SUM(OSRRefT16x_0)</f>
        <v>0</v>
      </c>
      <c r="U19" s="4"/>
      <c r="V19" s="12">
        <f t="shared" ref="V19:V20" si="9">IF(T$12=0,0,T19/T$12)</f>
        <v>0</v>
      </c>
      <c r="W19" s="4"/>
      <c r="X19" s="4">
        <f t="shared" ref="X19:X20" si="10">+P19-T19</f>
        <v>0</v>
      </c>
      <c r="Y19" s="4"/>
      <c r="Z19" s="12">
        <f t="shared" ref="Z19:Z20" si="11">IF(T19=0,0,X19/T19)</f>
        <v>0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0</v>
      </c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/>
      <c r="Q20" s="2"/>
      <c r="R20" s="19">
        <f t="shared" si="8"/>
        <v>0</v>
      </c>
      <c r="S20" s="2"/>
      <c r="T20" s="2">
        <v>0</v>
      </c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108</v>
      </c>
      <c r="C22" s="26"/>
      <c r="D22" s="21">
        <f>D12-D19</f>
        <v>55943.87</v>
      </c>
      <c r="E22" s="13"/>
      <c r="F22" s="20">
        <f>IF(D$12=0,0,D22/D$12)</f>
        <v>1</v>
      </c>
      <c r="G22" s="13"/>
      <c r="H22" s="21">
        <f>H12-H19</f>
        <v>44700</v>
      </c>
      <c r="I22" s="13"/>
      <c r="J22" s="20">
        <f>IF(H$12=0,0,H22/H$12)</f>
        <v>1</v>
      </c>
      <c r="K22" s="16"/>
      <c r="L22" s="21">
        <f>+D22-H22</f>
        <v>11243.870000000003</v>
      </c>
      <c r="M22" s="16"/>
      <c r="N22" s="20">
        <f>IF(H22=0,0,L22/H22)</f>
        <v>0.25154071588366894</v>
      </c>
      <c r="O22" s="25"/>
      <c r="P22" s="21">
        <f>P12-P19</f>
        <v>58475.67</v>
      </c>
      <c r="Q22" s="13"/>
      <c r="R22" s="20">
        <f>IF(P$12=0,0,P22/P$12)</f>
        <v>1</v>
      </c>
      <c r="S22" s="13"/>
      <c r="T22" s="21">
        <f>T12-T19</f>
        <v>47400</v>
      </c>
      <c r="U22" s="13"/>
      <c r="V22" s="20">
        <f>IF(T$12=0,0,T22/T$12)</f>
        <v>1</v>
      </c>
      <c r="W22" s="16"/>
      <c r="X22" s="21">
        <f>+P22-T22</f>
        <v>11075.669999999998</v>
      </c>
      <c r="Y22" s="16"/>
      <c r="Z22" s="20">
        <f>IF(T22=0,0,X22/T22)</f>
        <v>0.23366392405063288</v>
      </c>
    </row>
    <row r="23" spans="1:26" x14ac:dyDescent="0.3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295</v>
      </c>
      <c r="C24" s="10"/>
      <c r="D24" s="22">
        <f>SUM(OSRRefD22x_0)</f>
        <v>17838.41</v>
      </c>
      <c r="E24" s="22"/>
      <c r="F24" s="31">
        <f t="shared" ref="F24:F34" si="12">IF(D$12=0,0,D24/D$12)</f>
        <v>0.31886263856969493</v>
      </c>
      <c r="G24" s="22"/>
      <c r="H24" s="22">
        <f>SUM(OSRRefH22x_0)</f>
        <v>-8368.868195769217</v>
      </c>
      <c r="I24" s="22"/>
      <c r="J24" s="31">
        <f t="shared" ref="J24:J34" si="13">IF(H$12=0,0,H24/H$12)</f>
        <v>-0.18722300214248808</v>
      </c>
      <c r="K24" s="4"/>
      <c r="L24" s="22">
        <f t="shared" ref="L24:L34" si="14">+D24-H24</f>
        <v>26207.278195769217</v>
      </c>
      <c r="M24" s="4"/>
      <c r="N24" s="31">
        <f t="shared" ref="N24:N34" si="15">IF(H24=0,0,L24/H24)</f>
        <v>-3.1315200075701992</v>
      </c>
      <c r="O24" s="10"/>
      <c r="P24" s="22">
        <f>SUM(OSRRefP22x_0)</f>
        <v>55497.29</v>
      </c>
      <c r="Q24" s="22"/>
      <c r="R24" s="31">
        <f t="shared" ref="R24:R34" si="16">IF(P$12=0,0,P24/P$12)</f>
        <v>0.94906633818817299</v>
      </c>
      <c r="S24" s="22"/>
      <c r="T24" s="22">
        <f>SUM(OSRRefT22x_0)</f>
        <v>42907.913559519307</v>
      </c>
      <c r="U24" s="22"/>
      <c r="V24" s="31">
        <f t="shared" ref="V24:V34" si="17">IF(T$12=0,0,T24/T$12)</f>
        <v>0.90523024387171536</v>
      </c>
      <c r="W24" s="4"/>
      <c r="X24" s="22">
        <f t="shared" ref="X24:X34" si="18">+P24-T24</f>
        <v>12589.376440480693</v>
      </c>
      <c r="Y24" s="4"/>
      <c r="Z24" s="31">
        <f t="shared" ref="Z24:Z34" si="19">IF(T24=0,0,X24/T24)</f>
        <v>0.29340453534328714</v>
      </c>
    </row>
    <row r="25" spans="1:26" s="28" customFormat="1" outlineLevel="1" collapsed="1" x14ac:dyDescent="0.3">
      <c r="A25" s="29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9174.36</v>
      </c>
      <c r="E25" s="1"/>
      <c r="F25" s="5">
        <f t="shared" si="12"/>
        <v>0.16399223006917468</v>
      </c>
      <c r="G25" s="1"/>
      <c r="H25" s="1">
        <f>SUM(OSRRefH22_0x_0)</f>
        <v>9060.2587273076842</v>
      </c>
      <c r="I25" s="1"/>
      <c r="J25" s="5">
        <f t="shared" si="13"/>
        <v>0.20269035184133521</v>
      </c>
      <c r="K25" s="1"/>
      <c r="L25" s="1">
        <f t="shared" si="14"/>
        <v>114.10127269231634</v>
      </c>
      <c r="M25" s="1"/>
      <c r="N25" s="5">
        <f t="shared" si="15"/>
        <v>1.2593599821649055E-2</v>
      </c>
      <c r="O25" s="14"/>
      <c r="P25" s="1">
        <f>SUM(OSRRefP22_0x_0)</f>
        <v>18095.68</v>
      </c>
      <c r="Q25" s="1"/>
      <c r="R25" s="5">
        <f t="shared" si="16"/>
        <v>0.30945656543995137</v>
      </c>
      <c r="S25" s="1"/>
      <c r="T25" s="1">
        <f>SUM(OSRRefT22_0x_0)</f>
        <v>19167.699136442297</v>
      </c>
      <c r="U25" s="1"/>
      <c r="V25" s="5">
        <f t="shared" si="17"/>
        <v>0.40438183832156743</v>
      </c>
      <c r="W25" s="1"/>
      <c r="X25" s="1">
        <f t="shared" si="18"/>
        <v>-1072.0191364422972</v>
      </c>
      <c r="Y25" s="1"/>
      <c r="Z25" s="5">
        <f t="shared" si="19"/>
        <v>-5.5928420454186757E-2</v>
      </c>
    </row>
    <row r="26" spans="1:26" s="24" customFormat="1" hidden="1" outlineLevel="2" x14ac:dyDescent="0.3">
      <c r="A26" s="27"/>
      <c r="B26" s="11" t="str">
        <f>CONCATENATE("          ", "6111", " - ", "F.I.C.A.")</f>
        <v xml:space="preserve">          6111 - F.I.C.A.</v>
      </c>
      <c r="C26" s="11"/>
      <c r="D26" s="6">
        <v>1387.4</v>
      </c>
      <c r="E26" s="2"/>
      <c r="F26" s="7">
        <f t="shared" si="12"/>
        <v>2.4799857428526129E-2</v>
      </c>
      <c r="G26" s="2"/>
      <c r="H26" s="6">
        <v>1395.5451542307701</v>
      </c>
      <c r="I26" s="2"/>
      <c r="J26" s="7">
        <f t="shared" si="13"/>
        <v>3.1220249535363984E-2</v>
      </c>
      <c r="K26" s="2"/>
      <c r="L26" s="6">
        <f t="shared" si="14"/>
        <v>-8.1451542307700038</v>
      </c>
      <c r="M26" s="2"/>
      <c r="N26" s="7">
        <f t="shared" si="15"/>
        <v>-5.8365393667678522E-3</v>
      </c>
      <c r="O26" s="11"/>
      <c r="P26" s="6">
        <v>2634.91</v>
      </c>
      <c r="Q26" s="2"/>
      <c r="R26" s="7">
        <f t="shared" si="16"/>
        <v>4.5059936893412249E-2</v>
      </c>
      <c r="S26" s="2"/>
      <c r="T26" s="6">
        <v>2979.26359701923</v>
      </c>
      <c r="U26" s="2"/>
      <c r="V26" s="7">
        <f t="shared" si="17"/>
        <v>6.2853662384371942E-2</v>
      </c>
      <c r="W26" s="2"/>
      <c r="X26" s="6">
        <f t="shared" si="18"/>
        <v>-344.35359701923016</v>
      </c>
      <c r="Y26" s="2"/>
      <c r="Z26" s="7">
        <f t="shared" si="19"/>
        <v>-0.11558346074639313</v>
      </c>
    </row>
    <row r="27" spans="1:26" s="24" customFormat="1" hidden="1" outlineLevel="2" x14ac:dyDescent="0.3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285</v>
      </c>
      <c r="E27" s="2"/>
      <c r="F27" s="7">
        <f t="shared" si="12"/>
        <v>5.0943919324851856E-3</v>
      </c>
      <c r="G27" s="2"/>
      <c r="H27" s="6">
        <v>284.47019999999998</v>
      </c>
      <c r="I27" s="2"/>
      <c r="J27" s="7">
        <f t="shared" si="13"/>
        <v>6.3639865771812076E-3</v>
      </c>
      <c r="K27" s="2"/>
      <c r="L27" s="6">
        <f t="shared" si="14"/>
        <v>0.52980000000002292</v>
      </c>
      <c r="M27" s="2"/>
      <c r="N27" s="7">
        <f t="shared" si="15"/>
        <v>1.8624094896408233E-3</v>
      </c>
      <c r="O27" s="11"/>
      <c r="P27" s="6">
        <v>536.73</v>
      </c>
      <c r="Q27" s="2"/>
      <c r="R27" s="7">
        <f t="shared" si="16"/>
        <v>9.1786891881700545E-3</v>
      </c>
      <c r="S27" s="2"/>
      <c r="T27" s="6">
        <v>607.29795000000001</v>
      </c>
      <c r="U27" s="2"/>
      <c r="V27" s="7">
        <f t="shared" si="17"/>
        <v>1.2812193037974684E-2</v>
      </c>
      <c r="W27" s="2"/>
      <c r="X27" s="6">
        <f t="shared" si="18"/>
        <v>-70.567949999999996</v>
      </c>
      <c r="Y27" s="2"/>
      <c r="Z27" s="7">
        <f t="shared" si="19"/>
        <v>-0.116199881787844</v>
      </c>
    </row>
    <row r="28" spans="1:26" s="24" customFormat="1" hidden="1" outlineLevel="2" x14ac:dyDescent="0.3">
      <c r="A28" s="27"/>
      <c r="B28" s="11" t="str">
        <f>CONCATENATE("          ", "6113", " - ", "GROUP INSURANCE")</f>
        <v xml:space="preserve">          6113 - GROUP INSURANCE</v>
      </c>
      <c r="C28" s="11"/>
      <c r="D28" s="6">
        <v>3410.23</v>
      </c>
      <c r="E28" s="2"/>
      <c r="F28" s="7">
        <f t="shared" si="12"/>
        <v>6.0958063859364753E-2</v>
      </c>
      <c r="G28" s="2"/>
      <c r="H28" s="6">
        <v>3303</v>
      </c>
      <c r="I28" s="2"/>
      <c r="J28" s="7">
        <f t="shared" si="13"/>
        <v>7.3892617449664424E-2</v>
      </c>
      <c r="K28" s="2"/>
      <c r="L28" s="6">
        <f t="shared" si="14"/>
        <v>107.23000000000002</v>
      </c>
      <c r="M28" s="2"/>
      <c r="N28" s="7">
        <f t="shared" si="15"/>
        <v>3.2464426279140181E-2</v>
      </c>
      <c r="O28" s="11"/>
      <c r="P28" s="6">
        <v>6820.46</v>
      </c>
      <c r="Q28" s="2"/>
      <c r="R28" s="7">
        <f t="shared" si="16"/>
        <v>0.11663756909497575</v>
      </c>
      <c r="S28" s="2"/>
      <c r="T28" s="6">
        <v>6606</v>
      </c>
      <c r="U28" s="2"/>
      <c r="V28" s="7">
        <f t="shared" si="17"/>
        <v>0.13936708860759495</v>
      </c>
      <c r="W28" s="2"/>
      <c r="X28" s="6">
        <f t="shared" si="18"/>
        <v>214.46000000000004</v>
      </c>
      <c r="Y28" s="2"/>
      <c r="Z28" s="7">
        <f t="shared" si="19"/>
        <v>3.2464426279140181E-2</v>
      </c>
    </row>
    <row r="29" spans="1:26" s="24" customFormat="1" hidden="1" outlineLevel="2" x14ac:dyDescent="0.3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50.07</v>
      </c>
      <c r="E29" s="2"/>
      <c r="F29" s="7">
        <f t="shared" si="12"/>
        <v>8.9500422477029203E-4</v>
      </c>
      <c r="G29" s="2"/>
      <c r="H29" s="6">
        <v>38.294065384615401</v>
      </c>
      <c r="I29" s="2"/>
      <c r="J29" s="7">
        <f t="shared" si="13"/>
        <v>8.5669050077439375E-4</v>
      </c>
      <c r="K29" s="2"/>
      <c r="L29" s="6">
        <f t="shared" si="14"/>
        <v>11.7759346153846</v>
      </c>
      <c r="M29" s="2"/>
      <c r="N29" s="7">
        <f t="shared" si="15"/>
        <v>0.3075133051847655</v>
      </c>
      <c r="O29" s="11"/>
      <c r="P29" s="6">
        <v>94.29</v>
      </c>
      <c r="Q29" s="2"/>
      <c r="R29" s="7">
        <f t="shared" si="16"/>
        <v>1.6124654920584923E-3</v>
      </c>
      <c r="S29" s="2"/>
      <c r="T29" s="6">
        <v>81.7516471153846</v>
      </c>
      <c r="U29" s="2"/>
      <c r="V29" s="7">
        <f t="shared" si="17"/>
        <v>1.7247182935735148E-3</v>
      </c>
      <c r="W29" s="2"/>
      <c r="X29" s="6">
        <f t="shared" si="18"/>
        <v>12.538352884615406</v>
      </c>
      <c r="Y29" s="2"/>
      <c r="Z29" s="7">
        <f t="shared" si="19"/>
        <v>0.15337125705759452</v>
      </c>
    </row>
    <row r="30" spans="1:26" s="24" customFormat="1" hidden="1" outlineLevel="2" x14ac:dyDescent="0.3">
      <c r="A30" s="27"/>
      <c r="B30" s="11" t="str">
        <f>CONCATENATE("          ", "6115", " - ", "P.E.R.S.")</f>
        <v xml:space="preserve">          6115 - P.E.R.S.</v>
      </c>
      <c r="C30" s="11"/>
      <c r="D30" s="6">
        <v>1590.79</v>
      </c>
      <c r="E30" s="2"/>
      <c r="F30" s="7">
        <f t="shared" si="12"/>
        <v>2.8435465762379326E-2</v>
      </c>
      <c r="G30" s="2"/>
      <c r="H30" s="6">
        <v>1423.7531538461501</v>
      </c>
      <c r="I30" s="2"/>
      <c r="J30" s="7">
        <f t="shared" si="13"/>
        <v>3.1851300980898216E-2</v>
      </c>
      <c r="K30" s="2"/>
      <c r="L30" s="6">
        <f t="shared" si="14"/>
        <v>167.03684615384987</v>
      </c>
      <c r="M30" s="2"/>
      <c r="N30" s="7">
        <f t="shared" si="15"/>
        <v>0.11732149333795243</v>
      </c>
      <c r="O30" s="11"/>
      <c r="P30" s="6">
        <v>3181.58</v>
      </c>
      <c r="Q30" s="2"/>
      <c r="R30" s="7">
        <f t="shared" si="16"/>
        <v>5.4408611307916611E-2</v>
      </c>
      <c r="S30" s="2"/>
      <c r="T30" s="6">
        <v>3203.4445961538399</v>
      </c>
      <c r="U30" s="2"/>
      <c r="V30" s="7">
        <f t="shared" si="17"/>
        <v>6.7583219328140084E-2</v>
      </c>
      <c r="W30" s="2"/>
      <c r="X30" s="6">
        <f t="shared" si="18"/>
        <v>-21.864596153840012</v>
      </c>
      <c r="Y30" s="2"/>
      <c r="Z30" s="7">
        <f t="shared" si="19"/>
        <v>-6.8253392551540799E-3</v>
      </c>
    </row>
    <row r="31" spans="1:26" s="24" customFormat="1" hidden="1" outlineLevel="2" x14ac:dyDescent="0.3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3">
      <c r="A32" s="27"/>
      <c r="B32" s="11" t="str">
        <f>CONCATENATE("          ", "6118", " - ", "VACATION")</f>
        <v xml:space="preserve">          6118 - VACATION</v>
      </c>
      <c r="C32" s="11"/>
      <c r="D32" s="6">
        <v>1216.0999999999999</v>
      </c>
      <c r="E32" s="2"/>
      <c r="F32" s="7">
        <f t="shared" si="12"/>
        <v>2.1737859751211345E-2</v>
      </c>
      <c r="G32" s="2"/>
      <c r="H32" s="6">
        <v>1389.43038461538</v>
      </c>
      <c r="I32" s="2"/>
      <c r="J32" s="7">
        <f t="shared" si="13"/>
        <v>3.1083453794527517E-2</v>
      </c>
      <c r="K32" s="2"/>
      <c r="L32" s="6">
        <f t="shared" si="14"/>
        <v>-173.33038461538013</v>
      </c>
      <c r="M32" s="2"/>
      <c r="N32" s="7">
        <f t="shared" si="15"/>
        <v>-0.12474924007319818</v>
      </c>
      <c r="O32" s="11"/>
      <c r="P32" s="6">
        <v>2432.1999999999998</v>
      </c>
      <c r="Q32" s="2"/>
      <c r="R32" s="7">
        <f t="shared" si="16"/>
        <v>4.1593366950733526E-2</v>
      </c>
      <c r="S32" s="2"/>
      <c r="T32" s="6">
        <v>3126.21836538461</v>
      </c>
      <c r="U32" s="2"/>
      <c r="V32" s="7">
        <f t="shared" si="17"/>
        <v>6.5953973953261816E-2</v>
      </c>
      <c r="W32" s="2"/>
      <c r="X32" s="6">
        <f t="shared" si="18"/>
        <v>-694.01836538461021</v>
      </c>
      <c r="Y32" s="2"/>
      <c r="Z32" s="7">
        <f t="shared" si="19"/>
        <v>-0.22199932450951074</v>
      </c>
    </row>
    <row r="33" spans="1:26" s="24" customFormat="1" hidden="1" outlineLevel="2" x14ac:dyDescent="0.3">
      <c r="A33" s="27"/>
      <c r="B33" s="11" t="str">
        <f>CONCATENATE("          ", "6119", " - ", "SICK LEAVE")</f>
        <v xml:space="preserve">          6119 - SICK LEAVE</v>
      </c>
      <c r="C33" s="11"/>
      <c r="D33" s="6">
        <v>738.5</v>
      </c>
      <c r="E33" s="2"/>
      <c r="F33" s="7">
        <f t="shared" si="12"/>
        <v>1.320073137593091E-2</v>
      </c>
      <c r="G33" s="2"/>
      <c r="H33" s="6">
        <v>700.76576923076902</v>
      </c>
      <c r="I33" s="2"/>
      <c r="J33" s="7">
        <f t="shared" si="13"/>
        <v>1.5677086559972461E-2</v>
      </c>
      <c r="K33" s="2"/>
      <c r="L33" s="6">
        <f t="shared" si="14"/>
        <v>37.734230769230976</v>
      </c>
      <c r="M33" s="2"/>
      <c r="N33" s="7">
        <f t="shared" si="15"/>
        <v>5.3847137554466823E-2</v>
      </c>
      <c r="O33" s="11"/>
      <c r="P33" s="6">
        <v>1477</v>
      </c>
      <c r="Q33" s="2"/>
      <c r="R33" s="7">
        <f t="shared" si="16"/>
        <v>2.5258368138406966E-2</v>
      </c>
      <c r="S33" s="2"/>
      <c r="T33" s="6">
        <v>1513.7229807692299</v>
      </c>
      <c r="U33" s="2"/>
      <c r="V33" s="7">
        <f t="shared" si="17"/>
        <v>3.1935083982473203E-2</v>
      </c>
      <c r="W33" s="2"/>
      <c r="X33" s="6">
        <f t="shared" si="18"/>
        <v>-36.722980769229935</v>
      </c>
      <c r="Y33" s="2"/>
      <c r="Z33" s="7">
        <f t="shared" si="19"/>
        <v>-2.4260040466960727E-2</v>
      </c>
    </row>
    <row r="34" spans="1:26" s="24" customFormat="1" hidden="1" outlineLevel="2" x14ac:dyDescent="0.3">
      <c r="A34" s="27"/>
      <c r="B34" s="11" t="str">
        <f>CONCATENATE("          ", "6156", " - ", "EMPLOYEE MEALS")</f>
        <v xml:space="preserve">          6156 - EMPLOYEE MEALS</v>
      </c>
      <c r="C34" s="11"/>
      <c r="D34" s="6">
        <v>496.27</v>
      </c>
      <c r="E34" s="2"/>
      <c r="F34" s="7">
        <f t="shared" si="12"/>
        <v>8.8708557345067475E-3</v>
      </c>
      <c r="G34" s="2"/>
      <c r="H34" s="6">
        <v>525</v>
      </c>
      <c r="I34" s="2"/>
      <c r="J34" s="7">
        <f t="shared" si="13"/>
        <v>1.1744966442953021E-2</v>
      </c>
      <c r="K34" s="2"/>
      <c r="L34" s="6">
        <f t="shared" si="14"/>
        <v>-28.730000000000018</v>
      </c>
      <c r="M34" s="2"/>
      <c r="N34" s="7">
        <f t="shared" si="15"/>
        <v>-5.4723809523809556E-2</v>
      </c>
      <c r="O34" s="11"/>
      <c r="P34" s="6">
        <v>918.51</v>
      </c>
      <c r="Q34" s="2"/>
      <c r="R34" s="7">
        <f t="shared" si="16"/>
        <v>1.5707558374277713E-2</v>
      </c>
      <c r="S34" s="2"/>
      <c r="T34" s="6">
        <v>1050</v>
      </c>
      <c r="U34" s="2"/>
      <c r="V34" s="7">
        <f t="shared" si="17"/>
        <v>2.2151898734177215E-2</v>
      </c>
      <c r="W34" s="2"/>
      <c r="X34" s="6">
        <f t="shared" si="18"/>
        <v>-131.49</v>
      </c>
      <c r="Y34" s="2"/>
      <c r="Z34" s="7">
        <f t="shared" si="19"/>
        <v>-0.12522857142857144</v>
      </c>
    </row>
    <row r="35" spans="1:26" s="28" customFormat="1" outlineLevel="1" collapsed="1" x14ac:dyDescent="0.3">
      <c r="A35" s="29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17940.689999999999</v>
      </c>
      <c r="E35" s="1"/>
      <c r="F35" s="5">
        <f t="shared" ref="F35:F45" si="20">IF(D$12=0,0,D35/D$12)</f>
        <v>0.32069089964637765</v>
      </c>
      <c r="G35" s="1"/>
      <c r="H35" s="1">
        <f>SUM(OSRRefH22_1x_0)</f>
        <v>16245.873076923099</v>
      </c>
      <c r="I35" s="1"/>
      <c r="J35" s="5">
        <f t="shared" ref="J35:J45" si="21">IF(H$12=0,0,H35/H$12)</f>
        <v>0.36344235071416331</v>
      </c>
      <c r="K35" s="1"/>
      <c r="L35" s="1">
        <f t="shared" ref="L35:L45" si="22">+D35-H35</f>
        <v>1694.8169230768999</v>
      </c>
      <c r="M35" s="1"/>
      <c r="N35" s="5">
        <f t="shared" ref="N35:N45" si="23">IF(H35=0,0,L35/H35)</f>
        <v>0.10432292035349885</v>
      </c>
      <c r="O35" s="14"/>
      <c r="P35" s="1">
        <f>SUM(OSRRefP22_1x_0)</f>
        <v>37382.240000000005</v>
      </c>
      <c r="Q35" s="1"/>
      <c r="R35" s="5">
        <f t="shared" ref="R35:R45" si="24">IF(P$12=0,0,P35/P$12)</f>
        <v>0.63927852387155215</v>
      </c>
      <c r="S35" s="1"/>
      <c r="T35" s="1">
        <f>SUM(OSRRefT22_1x_0)</f>
        <v>34390.214423076999</v>
      </c>
      <c r="U35" s="1"/>
      <c r="V35" s="5">
        <f t="shared" ref="V35:V45" si="25">IF(T$12=0,0,T35/T$12)</f>
        <v>0.72553194985394509</v>
      </c>
      <c r="W35" s="1"/>
      <c r="X35" s="1">
        <f t="shared" ref="X35:X45" si="26">+P35-T35</f>
        <v>2992.0255769230062</v>
      </c>
      <c r="Y35" s="1"/>
      <c r="Z35" s="5">
        <f t="shared" ref="Z35:Z45" si="27">IF(T35=0,0,X35/T35)</f>
        <v>8.7002236744277331E-2</v>
      </c>
    </row>
    <row r="36" spans="1:26" s="24" customFormat="1" hidden="1" outlineLevel="2" x14ac:dyDescent="0.3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3">
      <c r="A37" s="27"/>
      <c r="B37" s="11" t="str">
        <f>CONCATENATE("          ", "6002", " - ", "STAFF SALARIES")</f>
        <v xml:space="preserve">          6002 - STAFF SALARIES</v>
      </c>
      <c r="C37" s="11"/>
      <c r="D37" s="6">
        <v>15332.57</v>
      </c>
      <c r="E37" s="2"/>
      <c r="F37" s="7">
        <f t="shared" si="20"/>
        <v>0.27407059969215569</v>
      </c>
      <c r="G37" s="2"/>
      <c r="H37" s="6">
        <v>14515.473076923099</v>
      </c>
      <c r="I37" s="2"/>
      <c r="J37" s="7">
        <f t="shared" si="21"/>
        <v>0.32473094131819014</v>
      </c>
      <c r="K37" s="2"/>
      <c r="L37" s="6">
        <f t="shared" si="22"/>
        <v>817.09692307690057</v>
      </c>
      <c r="M37" s="2"/>
      <c r="N37" s="7">
        <f t="shared" si="23"/>
        <v>5.6291442844941281E-2</v>
      </c>
      <c r="O37" s="11"/>
      <c r="P37" s="6">
        <v>34266.620000000003</v>
      </c>
      <c r="Q37" s="2"/>
      <c r="R37" s="7">
        <f t="shared" si="24"/>
        <v>0.58599790305951183</v>
      </c>
      <c r="S37" s="2"/>
      <c r="T37" s="6">
        <v>32659.814423077001</v>
      </c>
      <c r="U37" s="2"/>
      <c r="V37" s="7">
        <f t="shared" si="25"/>
        <v>0.68902562074002116</v>
      </c>
      <c r="W37" s="2"/>
      <c r="X37" s="6">
        <f t="shared" si="26"/>
        <v>1606.8055769230014</v>
      </c>
      <c r="Y37" s="2"/>
      <c r="Z37" s="7">
        <f t="shared" si="27"/>
        <v>4.919824577409887E-2</v>
      </c>
    </row>
    <row r="38" spans="1:26" s="24" customFormat="1" hidden="1" outlineLevel="2" x14ac:dyDescent="0.3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3">
      <c r="A42" s="27"/>
      <c r="B42" s="11" t="str">
        <f>CONCATENATE("          ", "6007", " - ", "STUDENT HOURLY")</f>
        <v xml:space="preserve">          6007 - STUDENT HOURLY</v>
      </c>
      <c r="C42" s="11"/>
      <c r="D42" s="6">
        <v>2608.12</v>
      </c>
      <c r="E42" s="2"/>
      <c r="F42" s="7">
        <f t="shared" si="20"/>
        <v>4.6620299954221969E-2</v>
      </c>
      <c r="G42" s="2"/>
      <c r="H42" s="6">
        <v>1730.4</v>
      </c>
      <c r="I42" s="2"/>
      <c r="J42" s="7">
        <f t="shared" si="21"/>
        <v>3.8711409395973159E-2</v>
      </c>
      <c r="K42" s="2"/>
      <c r="L42" s="6">
        <f t="shared" si="22"/>
        <v>877.7199999999998</v>
      </c>
      <c r="M42" s="2"/>
      <c r="N42" s="7">
        <f t="shared" si="23"/>
        <v>0.50723532131299109</v>
      </c>
      <c r="O42" s="11"/>
      <c r="P42" s="6">
        <v>3115.62</v>
      </c>
      <c r="Q42" s="2"/>
      <c r="R42" s="7">
        <f t="shared" si="24"/>
        <v>5.328062081204029E-2</v>
      </c>
      <c r="S42" s="2"/>
      <c r="T42" s="6">
        <v>1730.4</v>
      </c>
      <c r="U42" s="2"/>
      <c r="V42" s="7">
        <f t="shared" si="25"/>
        <v>3.6506329113924055E-2</v>
      </c>
      <c r="W42" s="2"/>
      <c r="X42" s="6">
        <f t="shared" si="26"/>
        <v>1385.2199999999998</v>
      </c>
      <c r="Y42" s="2"/>
      <c r="Z42" s="7">
        <f t="shared" si="27"/>
        <v>0.80052011095700404</v>
      </c>
    </row>
    <row r="43" spans="1:26" s="24" customFormat="1" hidden="1" outlineLevel="2" x14ac:dyDescent="0.3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8" customFormat="1" outlineLevel="1" collapsed="1" x14ac:dyDescent="0.3">
      <c r="A46" s="29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54" si="28">IF(D$12=0,0,D46/D$12)</f>
        <v>0</v>
      </c>
      <c r="G46" s="1"/>
      <c r="H46" s="1">
        <f>SUM(OSRRefH22_2x_0)</f>
        <v>50</v>
      </c>
      <c r="I46" s="1"/>
      <c r="J46" s="5">
        <f t="shared" ref="J46:J54" si="29">IF(H$12=0,0,H46/H$12)</f>
        <v>1.1185682326621924E-3</v>
      </c>
      <c r="K46" s="1"/>
      <c r="L46" s="1">
        <f t="shared" ref="L46:L54" si="30">+D46-H46</f>
        <v>-50</v>
      </c>
      <c r="M46" s="1"/>
      <c r="N46" s="5">
        <f t="shared" ref="N46:N54" si="31">IF(H46=0,0,L46/H46)</f>
        <v>-1</v>
      </c>
      <c r="O46" s="14"/>
      <c r="P46" s="1">
        <f>SUM(OSRRefP22_2x_0)</f>
        <v>0</v>
      </c>
      <c r="Q46" s="1"/>
      <c r="R46" s="5">
        <f t="shared" ref="R46:R54" si="32">IF(P$12=0,0,P46/P$12)</f>
        <v>0</v>
      </c>
      <c r="S46" s="1"/>
      <c r="T46" s="1">
        <f>SUM(OSRRefT22_2x_0)</f>
        <v>100</v>
      </c>
      <c r="U46" s="1"/>
      <c r="V46" s="5">
        <f t="shared" ref="V46:V54" si="33">IF(T$12=0,0,T46/T$12)</f>
        <v>2.1097046413502108E-3</v>
      </c>
      <c r="W46" s="1"/>
      <c r="X46" s="1">
        <f t="shared" ref="X46:X54" si="34">+P46-T46</f>
        <v>-100</v>
      </c>
      <c r="Y46" s="1"/>
      <c r="Z46" s="5">
        <f t="shared" ref="Z46:Z54" si="35">IF(T46=0,0,X46/T46)</f>
        <v>-1</v>
      </c>
    </row>
    <row r="47" spans="1:26" s="24" customFormat="1" hidden="1" outlineLevel="2" x14ac:dyDescent="0.3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8"/>
        <v>0</v>
      </c>
      <c r="G47" s="2"/>
      <c r="H47" s="6">
        <v>50</v>
      </c>
      <c r="I47" s="2"/>
      <c r="J47" s="7">
        <f t="shared" si="29"/>
        <v>1.1185682326621924E-3</v>
      </c>
      <c r="K47" s="2"/>
      <c r="L47" s="6">
        <f t="shared" si="30"/>
        <v>-50</v>
      </c>
      <c r="M47" s="2"/>
      <c r="N47" s="7">
        <f t="shared" si="31"/>
        <v>-1</v>
      </c>
      <c r="O47" s="11"/>
      <c r="P47" s="6"/>
      <c r="Q47" s="2"/>
      <c r="R47" s="7">
        <f t="shared" si="32"/>
        <v>0</v>
      </c>
      <c r="S47" s="2"/>
      <c r="T47" s="6">
        <v>100</v>
      </c>
      <c r="U47" s="2"/>
      <c r="V47" s="7">
        <f t="shared" si="33"/>
        <v>2.1097046413502108E-3</v>
      </c>
      <c r="W47" s="2"/>
      <c r="X47" s="6">
        <f t="shared" si="34"/>
        <v>-100</v>
      </c>
      <c r="Y47" s="2"/>
      <c r="Z47" s="7">
        <f t="shared" si="35"/>
        <v>-1</v>
      </c>
    </row>
    <row r="48" spans="1:26" s="28" customFormat="1" outlineLevel="1" collapsed="1" x14ac:dyDescent="0.3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SUM(OSRRefD22_3x_0)</f>
        <v>169.88</v>
      </c>
      <c r="E48" s="1"/>
      <c r="F48" s="5">
        <f t="shared" si="28"/>
        <v>3.036615092949415E-3</v>
      </c>
      <c r="G48" s="1"/>
      <c r="H48" s="1">
        <f>SUM(OSRRefH22_3x_0)</f>
        <v>170</v>
      </c>
      <c r="I48" s="1"/>
      <c r="J48" s="5">
        <f t="shared" si="29"/>
        <v>3.803131991051454E-3</v>
      </c>
      <c r="K48" s="1"/>
      <c r="L48" s="1">
        <f t="shared" si="30"/>
        <v>-0.12000000000000455</v>
      </c>
      <c r="M48" s="1"/>
      <c r="N48" s="5">
        <f t="shared" si="31"/>
        <v>-7.0588235294120319E-4</v>
      </c>
      <c r="O48" s="14"/>
      <c r="P48" s="1">
        <f>SUM(OSRRefP22_3x_0)</f>
        <v>339.76</v>
      </c>
      <c r="Q48" s="1"/>
      <c r="R48" s="5">
        <f t="shared" si="32"/>
        <v>5.8102797283040965E-3</v>
      </c>
      <c r="S48" s="1"/>
      <c r="T48" s="1">
        <f>SUM(OSRRefT22_3x_0)</f>
        <v>340</v>
      </c>
      <c r="U48" s="1"/>
      <c r="V48" s="5">
        <f t="shared" si="33"/>
        <v>7.1729957805907177E-3</v>
      </c>
      <c r="W48" s="1"/>
      <c r="X48" s="1">
        <f t="shared" si="34"/>
        <v>-0.24000000000000909</v>
      </c>
      <c r="Y48" s="1"/>
      <c r="Z48" s="5">
        <f t="shared" si="35"/>
        <v>-7.0588235294120319E-4</v>
      </c>
    </row>
    <row r="49" spans="1:26" s="24" customFormat="1" hidden="1" outlineLevel="2" x14ac:dyDescent="0.3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169.88</v>
      </c>
      <c r="E49" s="2"/>
      <c r="F49" s="7">
        <f t="shared" si="28"/>
        <v>3.036615092949415E-3</v>
      </c>
      <c r="G49" s="2"/>
      <c r="H49" s="6">
        <v>170</v>
      </c>
      <c r="I49" s="2"/>
      <c r="J49" s="7">
        <f t="shared" si="29"/>
        <v>3.803131991051454E-3</v>
      </c>
      <c r="K49" s="2"/>
      <c r="L49" s="6">
        <f t="shared" si="30"/>
        <v>-0.12000000000000455</v>
      </c>
      <c r="M49" s="2"/>
      <c r="N49" s="7">
        <f t="shared" si="31"/>
        <v>-7.0588235294120319E-4</v>
      </c>
      <c r="O49" s="11"/>
      <c r="P49" s="6">
        <v>339.76</v>
      </c>
      <c r="Q49" s="2"/>
      <c r="R49" s="7">
        <f t="shared" si="32"/>
        <v>5.8102797283040965E-3</v>
      </c>
      <c r="S49" s="2"/>
      <c r="T49" s="6">
        <v>340</v>
      </c>
      <c r="U49" s="2"/>
      <c r="V49" s="7">
        <f t="shared" si="33"/>
        <v>7.1729957805907177E-3</v>
      </c>
      <c r="W49" s="2"/>
      <c r="X49" s="6">
        <f t="shared" si="34"/>
        <v>-0.24000000000000909</v>
      </c>
      <c r="Y49" s="2"/>
      <c r="Z49" s="7">
        <f t="shared" si="35"/>
        <v>-7.0588235294120319E-4</v>
      </c>
    </row>
    <row r="50" spans="1:26" s="28" customFormat="1" outlineLevel="1" collapsed="1" x14ac:dyDescent="0.3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SUM(OSRRefD22_4x_0)</f>
        <v>1205.6400000000001</v>
      </c>
      <c r="E50" s="1"/>
      <c r="F50" s="5">
        <f t="shared" si="28"/>
        <v>2.1550886629759437E-2</v>
      </c>
      <c r="G50" s="1"/>
      <c r="H50" s="1">
        <f>SUM(OSRRefH22_4x_0)</f>
        <v>1200</v>
      </c>
      <c r="I50" s="1"/>
      <c r="J50" s="5">
        <f t="shared" si="29"/>
        <v>2.6845637583892617E-2</v>
      </c>
      <c r="K50" s="1"/>
      <c r="L50" s="1">
        <f t="shared" si="30"/>
        <v>5.6400000000001</v>
      </c>
      <c r="M50" s="1"/>
      <c r="N50" s="5">
        <f t="shared" si="31"/>
        <v>4.7000000000000835E-3</v>
      </c>
      <c r="O50" s="14"/>
      <c r="P50" s="1">
        <f>SUM(OSRRefP22_4x_0)</f>
        <v>2411.2800000000002</v>
      </c>
      <c r="Q50" s="1"/>
      <c r="R50" s="5">
        <f t="shared" si="32"/>
        <v>4.1235611323478638E-2</v>
      </c>
      <c r="S50" s="1"/>
      <c r="T50" s="1">
        <f>SUM(OSRRefT22_4x_0)</f>
        <v>2400</v>
      </c>
      <c r="U50" s="1"/>
      <c r="V50" s="5">
        <f t="shared" si="33"/>
        <v>5.0632911392405063E-2</v>
      </c>
      <c r="W50" s="1"/>
      <c r="X50" s="1">
        <f t="shared" si="34"/>
        <v>11.2800000000002</v>
      </c>
      <c r="Y50" s="1"/>
      <c r="Z50" s="5">
        <f t="shared" si="35"/>
        <v>4.7000000000000835E-3</v>
      </c>
    </row>
    <row r="51" spans="1:26" s="24" customFormat="1" hidden="1" outlineLevel="2" x14ac:dyDescent="0.3">
      <c r="A51" s="27"/>
      <c r="B51" s="11" t="str">
        <f>CONCATENATE("          ", "6351", " - ", "EQUIPMENT RENTAL")</f>
        <v xml:space="preserve">          6351 - EQUIPMENT RENTAL</v>
      </c>
      <c r="C51" s="11"/>
      <c r="D51" s="6">
        <v>1205.6400000000001</v>
      </c>
      <c r="E51" s="2"/>
      <c r="F51" s="7">
        <f t="shared" si="28"/>
        <v>2.1550886629759437E-2</v>
      </c>
      <c r="G51" s="2"/>
      <c r="H51" s="6">
        <v>1200</v>
      </c>
      <c r="I51" s="2"/>
      <c r="J51" s="7">
        <f t="shared" si="29"/>
        <v>2.6845637583892617E-2</v>
      </c>
      <c r="K51" s="2"/>
      <c r="L51" s="6">
        <f t="shared" si="30"/>
        <v>5.6400000000001</v>
      </c>
      <c r="M51" s="2"/>
      <c r="N51" s="7">
        <f t="shared" si="31"/>
        <v>4.7000000000000835E-3</v>
      </c>
      <c r="O51" s="11"/>
      <c r="P51" s="6">
        <v>2411.2800000000002</v>
      </c>
      <c r="Q51" s="2"/>
      <c r="R51" s="7">
        <f t="shared" si="32"/>
        <v>4.1235611323478638E-2</v>
      </c>
      <c r="S51" s="2"/>
      <c r="T51" s="6">
        <v>2400</v>
      </c>
      <c r="U51" s="2"/>
      <c r="V51" s="7">
        <f t="shared" si="33"/>
        <v>5.0632911392405063E-2</v>
      </c>
      <c r="W51" s="2"/>
      <c r="X51" s="6">
        <f t="shared" si="34"/>
        <v>11.2800000000002</v>
      </c>
      <c r="Y51" s="2"/>
      <c r="Z51" s="7">
        <f t="shared" si="35"/>
        <v>4.7000000000000835E-3</v>
      </c>
    </row>
    <row r="52" spans="1:26" s="28" customFormat="1" outlineLevel="1" collapsed="1" x14ac:dyDescent="0.3">
      <c r="A52" s="29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SUM(OSRRefD22_5x_0)</f>
        <v>-20187.95</v>
      </c>
      <c r="E52" s="1"/>
      <c r="F52" s="5">
        <f t="shared" si="28"/>
        <v>-0.36086080566110279</v>
      </c>
      <c r="G52" s="1"/>
      <c r="H52" s="1">
        <f>SUM(OSRRefH22_5x_0)</f>
        <v>-43200</v>
      </c>
      <c r="I52" s="1"/>
      <c r="J52" s="5">
        <f t="shared" si="29"/>
        <v>-0.96644295302013428</v>
      </c>
      <c r="K52" s="1"/>
      <c r="L52" s="1">
        <f t="shared" si="30"/>
        <v>23012.05</v>
      </c>
      <c r="M52" s="1"/>
      <c r="N52" s="5">
        <f t="shared" si="31"/>
        <v>-0.53268634259259262</v>
      </c>
      <c r="O52" s="14"/>
      <c r="P52" s="1">
        <f>SUM(OSRRefP22_5x_0)</f>
        <v>-17904.090000000004</v>
      </c>
      <c r="Q52" s="1"/>
      <c r="R52" s="5">
        <f t="shared" si="32"/>
        <v>-0.30618016005631066</v>
      </c>
      <c r="S52" s="1"/>
      <c r="T52" s="1">
        <f>SUM(OSRRefT22_5x_0)</f>
        <v>-38200</v>
      </c>
      <c r="U52" s="1"/>
      <c r="V52" s="5">
        <f t="shared" si="33"/>
        <v>-0.80590717299578063</v>
      </c>
      <c r="W52" s="1"/>
      <c r="X52" s="1">
        <f t="shared" si="34"/>
        <v>20295.909999999996</v>
      </c>
      <c r="Y52" s="1"/>
      <c r="Z52" s="5">
        <f t="shared" si="35"/>
        <v>-0.53130654450261772</v>
      </c>
    </row>
    <row r="53" spans="1:26" s="24" customFormat="1" hidden="1" outlineLevel="2" x14ac:dyDescent="0.3">
      <c r="A53" s="27"/>
      <c r="B53" s="11" t="str">
        <f>CONCATENATE("          ", "6305", " - ", "FREIGHT OUT")</f>
        <v xml:space="preserve">          6305 - FREIGHT OUT</v>
      </c>
      <c r="C53" s="11"/>
      <c r="D53" s="6">
        <v>4220.1899999999996</v>
      </c>
      <c r="E53" s="2"/>
      <c r="F53" s="7">
        <f t="shared" si="28"/>
        <v>7.5436146980893515E-2</v>
      </c>
      <c r="G53" s="2"/>
      <c r="H53" s="6">
        <v>6800</v>
      </c>
      <c r="I53" s="2"/>
      <c r="J53" s="7">
        <f t="shared" si="29"/>
        <v>0.15212527964205816</v>
      </c>
      <c r="K53" s="2"/>
      <c r="L53" s="6">
        <f t="shared" si="30"/>
        <v>-2579.8100000000004</v>
      </c>
      <c r="M53" s="2"/>
      <c r="N53" s="7">
        <f t="shared" si="31"/>
        <v>-0.3793838235294118</v>
      </c>
      <c r="O53" s="11"/>
      <c r="P53" s="6">
        <v>14131.31</v>
      </c>
      <c r="Q53" s="2"/>
      <c r="R53" s="7">
        <f t="shared" si="32"/>
        <v>0.24166136104126726</v>
      </c>
      <c r="S53" s="2"/>
      <c r="T53" s="6">
        <v>15800</v>
      </c>
      <c r="U53" s="2"/>
      <c r="V53" s="7">
        <f t="shared" si="33"/>
        <v>0.33333333333333331</v>
      </c>
      <c r="W53" s="2"/>
      <c r="X53" s="6">
        <f t="shared" si="34"/>
        <v>-1668.6900000000005</v>
      </c>
      <c r="Y53" s="2"/>
      <c r="Z53" s="7">
        <f t="shared" si="35"/>
        <v>-0.10561329113924053</v>
      </c>
    </row>
    <row r="54" spans="1:26" s="24" customFormat="1" hidden="1" outlineLevel="2" x14ac:dyDescent="0.3">
      <c r="A54" s="27"/>
      <c r="B54" s="11" t="str">
        <f>CONCATENATE("          ", "6307", " - ", "POSTAGE")</f>
        <v xml:space="preserve">          6307 - POSTAGE</v>
      </c>
      <c r="C54" s="11"/>
      <c r="D54" s="6">
        <v>-24408.14</v>
      </c>
      <c r="E54" s="2"/>
      <c r="F54" s="7">
        <f t="shared" si="28"/>
        <v>-0.43629695264199631</v>
      </c>
      <c r="G54" s="2"/>
      <c r="H54" s="6">
        <v>-50000</v>
      </c>
      <c r="I54" s="2"/>
      <c r="J54" s="7">
        <f t="shared" si="29"/>
        <v>-1.1185682326621924</v>
      </c>
      <c r="K54" s="2"/>
      <c r="L54" s="6">
        <f t="shared" si="30"/>
        <v>25591.86</v>
      </c>
      <c r="M54" s="2"/>
      <c r="N54" s="7">
        <f t="shared" si="31"/>
        <v>-0.51183719999999999</v>
      </c>
      <c r="O54" s="11"/>
      <c r="P54" s="6">
        <v>-32035.4</v>
      </c>
      <c r="Q54" s="2"/>
      <c r="R54" s="7">
        <f t="shared" si="32"/>
        <v>-0.54784152109757789</v>
      </c>
      <c r="S54" s="2"/>
      <c r="T54" s="6">
        <v>-54000</v>
      </c>
      <c r="U54" s="2"/>
      <c r="V54" s="7">
        <f t="shared" si="33"/>
        <v>-1.139240506329114</v>
      </c>
      <c r="W54" s="2"/>
      <c r="X54" s="6">
        <f t="shared" si="34"/>
        <v>21964.6</v>
      </c>
      <c r="Y54" s="2"/>
      <c r="Z54" s="7">
        <f t="shared" si="35"/>
        <v>-0.40675185185185181</v>
      </c>
    </row>
    <row r="55" spans="1:26" s="28" customFormat="1" outlineLevel="1" collapsed="1" x14ac:dyDescent="0.3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SUM(OSRRefD22_6x_0)</f>
        <v>1731.54</v>
      </c>
      <c r="E55" s="1"/>
      <c r="F55" s="5">
        <f t="shared" ref="F55:F57" si="36">IF(D$12=0,0,D55/D$12)</f>
        <v>3.095138037465052E-2</v>
      </c>
      <c r="G55" s="1"/>
      <c r="H55" s="1">
        <f>SUM(OSRRefH22_6x_0)</f>
        <v>4000</v>
      </c>
      <c r="I55" s="1"/>
      <c r="J55" s="5">
        <f t="shared" ref="J55:J57" si="37">IF(H$12=0,0,H55/H$12)</f>
        <v>8.9485458612975396E-2</v>
      </c>
      <c r="K55" s="1"/>
      <c r="L55" s="1">
        <f t="shared" ref="L55:L57" si="38">+D55-H55</f>
        <v>-2268.46</v>
      </c>
      <c r="M55" s="1"/>
      <c r="N55" s="5">
        <f t="shared" ref="N55:N57" si="39">IF(H55=0,0,L55/H55)</f>
        <v>-0.56711500000000004</v>
      </c>
      <c r="O55" s="14"/>
      <c r="P55" s="1">
        <f>SUM(OSRRefP22_6x_0)</f>
        <v>4077.52</v>
      </c>
      <c r="Q55" s="1"/>
      <c r="R55" s="5">
        <f t="shared" ref="R55:R57" si="40">IF(P$12=0,0,P55/P$12)</f>
        <v>6.9730197191413115E-2</v>
      </c>
      <c r="S55" s="1"/>
      <c r="T55" s="1">
        <f>SUM(OSRRefT22_6x_0)</f>
        <v>10000</v>
      </c>
      <c r="U55" s="1"/>
      <c r="V55" s="5">
        <f t="shared" ref="V55:V57" si="41">IF(T$12=0,0,T55/T$12)</f>
        <v>0.2109704641350211</v>
      </c>
      <c r="W55" s="1"/>
      <c r="X55" s="1">
        <f t="shared" ref="X55:X57" si="42">+P55-T55</f>
        <v>-5922.48</v>
      </c>
      <c r="Y55" s="1"/>
      <c r="Z55" s="5">
        <f t="shared" ref="Z55:Z57" si="43">IF(T55=0,0,X55/T55)</f>
        <v>-0.592248</v>
      </c>
    </row>
    <row r="56" spans="1:26" s="24" customFormat="1" hidden="1" outlineLevel="2" x14ac:dyDescent="0.3">
      <c r="A56" s="27"/>
      <c r="B56" s="11" t="str">
        <f>CONCATENATE("          ", "6373", " - ", "MAINTENANCE CONTRACTS")</f>
        <v xml:space="preserve">          6373 - MAINTENANCE CONTRACTS</v>
      </c>
      <c r="C56" s="11"/>
      <c r="D56" s="6">
        <v>55.74</v>
      </c>
      <c r="E56" s="2"/>
      <c r="F56" s="7">
        <f t="shared" si="36"/>
        <v>9.9635581163762883E-4</v>
      </c>
      <c r="G56" s="2"/>
      <c r="H56" s="6">
        <v>4000</v>
      </c>
      <c r="I56" s="2"/>
      <c r="J56" s="7">
        <f t="shared" si="37"/>
        <v>8.9485458612975396E-2</v>
      </c>
      <c r="K56" s="2"/>
      <c r="L56" s="6">
        <f t="shared" si="38"/>
        <v>-3944.26</v>
      </c>
      <c r="M56" s="2"/>
      <c r="N56" s="7">
        <f t="shared" si="39"/>
        <v>-0.98606500000000008</v>
      </c>
      <c r="O56" s="11"/>
      <c r="P56" s="6">
        <v>681.08</v>
      </c>
      <c r="Q56" s="2"/>
      <c r="R56" s="7">
        <f t="shared" si="40"/>
        <v>1.1647237218487622E-2</v>
      </c>
      <c r="S56" s="2"/>
      <c r="T56" s="6">
        <v>10000</v>
      </c>
      <c r="U56" s="2"/>
      <c r="V56" s="7">
        <f t="shared" si="41"/>
        <v>0.2109704641350211</v>
      </c>
      <c r="W56" s="2"/>
      <c r="X56" s="6">
        <f t="shared" si="42"/>
        <v>-9318.92</v>
      </c>
      <c r="Y56" s="2"/>
      <c r="Z56" s="7">
        <f t="shared" si="43"/>
        <v>-0.93189200000000005</v>
      </c>
    </row>
    <row r="57" spans="1:26" s="24" customFormat="1" hidden="1" outlineLevel="2" x14ac:dyDescent="0.3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6">
        <v>1675.8</v>
      </c>
      <c r="E57" s="2"/>
      <c r="F57" s="7">
        <f t="shared" si="36"/>
        <v>2.995502456301289E-2</v>
      </c>
      <c r="G57" s="2"/>
      <c r="H57" s="6"/>
      <c r="I57" s="2"/>
      <c r="J57" s="7">
        <f t="shared" si="37"/>
        <v>0</v>
      </c>
      <c r="K57" s="2"/>
      <c r="L57" s="6">
        <f t="shared" si="38"/>
        <v>1675.8</v>
      </c>
      <c r="M57" s="2"/>
      <c r="N57" s="7">
        <f t="shared" si="39"/>
        <v>0</v>
      </c>
      <c r="O57" s="11"/>
      <c r="P57" s="6">
        <v>3396.44</v>
      </c>
      <c r="Q57" s="2"/>
      <c r="R57" s="7">
        <f t="shared" si="40"/>
        <v>5.8082959972925494E-2</v>
      </c>
      <c r="S57" s="2"/>
      <c r="T57" s="6"/>
      <c r="U57" s="2"/>
      <c r="V57" s="7">
        <f t="shared" si="41"/>
        <v>0</v>
      </c>
      <c r="W57" s="2"/>
      <c r="X57" s="6">
        <f t="shared" si="42"/>
        <v>3396.44</v>
      </c>
      <c r="Y57" s="2"/>
      <c r="Z57" s="7">
        <f t="shared" si="43"/>
        <v>0</v>
      </c>
    </row>
    <row r="58" spans="1:26" s="28" customFormat="1" outlineLevel="1" collapsed="1" x14ac:dyDescent="0.3">
      <c r="A58" s="29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1">
        <f>SUM(OSRRefD22_7x_0)</f>
        <v>601.89</v>
      </c>
      <c r="E58" s="1"/>
      <c r="F58" s="5">
        <f t="shared" ref="F58:F64" si="44">IF(D$12=0,0,D58/D$12)</f>
        <v>1.0758819509626344E-2</v>
      </c>
      <c r="G58" s="1"/>
      <c r="H58" s="1">
        <f>SUM(OSRRefH22_7x_0)</f>
        <v>3000</v>
      </c>
      <c r="I58" s="1"/>
      <c r="J58" s="5">
        <f t="shared" ref="J58:J64" si="45">IF(H$12=0,0,H58/H$12)</f>
        <v>6.7114093959731544E-2</v>
      </c>
      <c r="K58" s="1"/>
      <c r="L58" s="1">
        <f t="shared" ref="L58:L64" si="46">+D58-H58</f>
        <v>-2398.11</v>
      </c>
      <c r="M58" s="1"/>
      <c r="N58" s="5">
        <f t="shared" ref="N58:N64" si="47">IF(H58=0,0,L58/H58)</f>
        <v>-0.79937000000000002</v>
      </c>
      <c r="O58" s="14"/>
      <c r="P58" s="1">
        <f>SUM(OSRRefP22_7x_0)</f>
        <v>607.95000000000005</v>
      </c>
      <c r="Q58" s="1"/>
      <c r="R58" s="5">
        <f t="shared" ref="R58:R64" si="48">IF(P$12=0,0,P58/P$12)</f>
        <v>1.0396631624742393E-2</v>
      </c>
      <c r="S58" s="1"/>
      <c r="T58" s="1">
        <f>SUM(OSRRefT22_7x_0)</f>
        <v>9000</v>
      </c>
      <c r="U58" s="1"/>
      <c r="V58" s="5">
        <f t="shared" ref="V58:V64" si="49">IF(T$12=0,0,T58/T$12)</f>
        <v>0.189873417721519</v>
      </c>
      <c r="W58" s="1"/>
      <c r="X58" s="1">
        <f t="shared" ref="X58:X64" si="50">+P58-T58</f>
        <v>-8392.0499999999993</v>
      </c>
      <c r="Y58" s="1"/>
      <c r="Z58" s="5">
        <f t="shared" ref="Z58:Z64" si="51">IF(T58=0,0,X58/T58)</f>
        <v>-0.93244999999999989</v>
      </c>
    </row>
    <row r="59" spans="1:26" s="24" customFormat="1" hidden="1" outlineLevel="2" x14ac:dyDescent="0.3">
      <c r="A59" s="27"/>
      <c r="B59" s="11" t="str">
        <f>CONCATENATE("          ", "6259", " - ", "ROYALTY &amp; COMMISSIONS")</f>
        <v xml:space="preserve">          6259 - ROYALTY &amp; COMMISSIONS</v>
      </c>
      <c r="C59" s="11"/>
      <c r="D59" s="6">
        <v>601.89</v>
      </c>
      <c r="E59" s="2"/>
      <c r="F59" s="7">
        <f t="shared" si="44"/>
        <v>1.0758819509626344E-2</v>
      </c>
      <c r="G59" s="2"/>
      <c r="H59" s="6">
        <v>3000</v>
      </c>
      <c r="I59" s="2"/>
      <c r="J59" s="7">
        <f t="shared" si="45"/>
        <v>6.7114093959731544E-2</v>
      </c>
      <c r="K59" s="2"/>
      <c r="L59" s="6">
        <f t="shared" si="46"/>
        <v>-2398.11</v>
      </c>
      <c r="M59" s="2"/>
      <c r="N59" s="7">
        <f t="shared" si="47"/>
        <v>-0.79937000000000002</v>
      </c>
      <c r="O59" s="11"/>
      <c r="P59" s="6">
        <v>607.95000000000005</v>
      </c>
      <c r="Q59" s="2"/>
      <c r="R59" s="7">
        <f t="shared" si="48"/>
        <v>1.0396631624742393E-2</v>
      </c>
      <c r="S59" s="2"/>
      <c r="T59" s="6">
        <v>9000</v>
      </c>
      <c r="U59" s="2"/>
      <c r="V59" s="7">
        <f t="shared" si="49"/>
        <v>0.189873417721519</v>
      </c>
      <c r="W59" s="2"/>
      <c r="X59" s="6">
        <f t="shared" si="50"/>
        <v>-8392.0499999999993</v>
      </c>
      <c r="Y59" s="2"/>
      <c r="Z59" s="7">
        <f t="shared" si="51"/>
        <v>-0.93244999999999989</v>
      </c>
    </row>
    <row r="60" spans="1:26" s="28" customFormat="1" outlineLevel="1" collapsed="1" x14ac:dyDescent="0.3">
      <c r="A60" s="29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SUM(OSRRefD22_8x_0)</f>
        <v>7042.86</v>
      </c>
      <c r="E60" s="1"/>
      <c r="F60" s="5">
        <f t="shared" si="44"/>
        <v>0.12589154093200916</v>
      </c>
      <c r="G60" s="1"/>
      <c r="H60" s="1">
        <f>SUM(OSRRefH22_8x_0)</f>
        <v>930</v>
      </c>
      <c r="I60" s="1"/>
      <c r="J60" s="5">
        <f t="shared" si="45"/>
        <v>2.0805369127516779E-2</v>
      </c>
      <c r="K60" s="1"/>
      <c r="L60" s="1">
        <f t="shared" si="46"/>
        <v>6112.86</v>
      </c>
      <c r="M60" s="1"/>
      <c r="N60" s="5">
        <f t="shared" si="47"/>
        <v>6.5729677419354839</v>
      </c>
      <c r="O60" s="14"/>
      <c r="P60" s="1">
        <f>SUM(OSRRefP22_8x_0)</f>
        <v>10159.65</v>
      </c>
      <c r="Q60" s="1"/>
      <c r="R60" s="5">
        <f t="shared" si="48"/>
        <v>0.17374148940918505</v>
      </c>
      <c r="S60" s="1"/>
      <c r="T60" s="1">
        <f>SUM(OSRRefT22_8x_0)</f>
        <v>5360</v>
      </c>
      <c r="U60" s="1"/>
      <c r="V60" s="5">
        <f t="shared" si="49"/>
        <v>0.11308016877637131</v>
      </c>
      <c r="W60" s="1"/>
      <c r="X60" s="1">
        <f t="shared" si="50"/>
        <v>4799.6499999999996</v>
      </c>
      <c r="Y60" s="1"/>
      <c r="Z60" s="5">
        <f t="shared" si="51"/>
        <v>0.89545708955223868</v>
      </c>
    </row>
    <row r="61" spans="1:26" s="24" customFormat="1" hidden="1" outlineLevel="2" x14ac:dyDescent="0.3">
      <c r="A61" s="27"/>
      <c r="B61" s="11" t="str">
        <f>CONCATENATE("          ", "6241", " - ", "OFFICE EXPENSE")</f>
        <v xml:space="preserve">          6241 - OFFICE EXPENSE</v>
      </c>
      <c r="C61" s="11"/>
      <c r="D61" s="6">
        <v>4675.71</v>
      </c>
      <c r="E61" s="2"/>
      <c r="F61" s="7">
        <f t="shared" si="44"/>
        <v>8.3578594044351945E-2</v>
      </c>
      <c r="G61" s="2"/>
      <c r="H61" s="6"/>
      <c r="I61" s="2"/>
      <c r="J61" s="7">
        <f t="shared" si="45"/>
        <v>0</v>
      </c>
      <c r="K61" s="2"/>
      <c r="L61" s="6">
        <f t="shared" si="46"/>
        <v>4675.71</v>
      </c>
      <c r="M61" s="2"/>
      <c r="N61" s="7">
        <f t="shared" si="47"/>
        <v>0</v>
      </c>
      <c r="O61" s="11"/>
      <c r="P61" s="6">
        <v>4829.5600000000004</v>
      </c>
      <c r="Q61" s="2"/>
      <c r="R61" s="7">
        <f t="shared" si="48"/>
        <v>8.2590930552826514E-2</v>
      </c>
      <c r="S61" s="2"/>
      <c r="T61" s="6"/>
      <c r="U61" s="2"/>
      <c r="V61" s="7">
        <f t="shared" si="49"/>
        <v>0</v>
      </c>
      <c r="W61" s="2"/>
      <c r="X61" s="6">
        <f t="shared" si="50"/>
        <v>4829.5600000000004</v>
      </c>
      <c r="Y61" s="2"/>
      <c r="Z61" s="7">
        <f t="shared" si="51"/>
        <v>0</v>
      </c>
    </row>
    <row r="62" spans="1:26" s="24" customFormat="1" hidden="1" outlineLevel="2" x14ac:dyDescent="0.3">
      <c r="A62" s="27"/>
      <c r="B62" s="11" t="str">
        <f>CONCATENATE("          ", "6243", " - ", "PAPER SUPPLIES")</f>
        <v xml:space="preserve">          6243 - PAPER SUPPLIES</v>
      </c>
      <c r="C62" s="11"/>
      <c r="D62" s="6">
        <v>1801.68</v>
      </c>
      <c r="E62" s="2"/>
      <c r="F62" s="7">
        <f t="shared" si="44"/>
        <v>3.220513704182424E-2</v>
      </c>
      <c r="G62" s="2"/>
      <c r="H62" s="6">
        <v>900</v>
      </c>
      <c r="I62" s="2"/>
      <c r="J62" s="7">
        <f t="shared" si="45"/>
        <v>2.0134228187919462E-2</v>
      </c>
      <c r="K62" s="2"/>
      <c r="L62" s="6">
        <f t="shared" si="46"/>
        <v>901.68000000000006</v>
      </c>
      <c r="M62" s="2"/>
      <c r="N62" s="7">
        <f t="shared" si="47"/>
        <v>1.0018666666666667</v>
      </c>
      <c r="O62" s="11"/>
      <c r="P62" s="6">
        <v>3450.92</v>
      </c>
      <c r="Q62" s="2"/>
      <c r="R62" s="7">
        <f t="shared" si="48"/>
        <v>5.9014629503176284E-2</v>
      </c>
      <c r="S62" s="2"/>
      <c r="T62" s="6">
        <v>5100</v>
      </c>
      <c r="U62" s="2"/>
      <c r="V62" s="7">
        <f t="shared" si="49"/>
        <v>0.10759493670886076</v>
      </c>
      <c r="W62" s="2"/>
      <c r="X62" s="6">
        <f t="shared" si="50"/>
        <v>-1649.08</v>
      </c>
      <c r="Y62" s="2"/>
      <c r="Z62" s="7">
        <f t="shared" si="51"/>
        <v>-0.32334901960784312</v>
      </c>
    </row>
    <row r="63" spans="1:26" s="24" customFormat="1" hidden="1" outlineLevel="2" x14ac:dyDescent="0.3">
      <c r="A63" s="27"/>
      <c r="B63" s="11" t="str">
        <f>CONCATENATE("          ", "6245", " - ", "PRINTING")</f>
        <v xml:space="preserve">          6245 - PRINTING</v>
      </c>
      <c r="C63" s="11"/>
      <c r="D63" s="6">
        <v>-1187.1400000000001</v>
      </c>
      <c r="E63" s="2"/>
      <c r="F63" s="7">
        <f t="shared" si="44"/>
        <v>-2.1220198030633203E-2</v>
      </c>
      <c r="G63" s="2"/>
      <c r="H63" s="6">
        <v>30</v>
      </c>
      <c r="I63" s="2"/>
      <c r="J63" s="7">
        <f t="shared" si="45"/>
        <v>6.711409395973154E-4</v>
      </c>
      <c r="K63" s="2"/>
      <c r="L63" s="6">
        <f t="shared" si="46"/>
        <v>-1217.1400000000001</v>
      </c>
      <c r="M63" s="2"/>
      <c r="N63" s="7">
        <f t="shared" si="47"/>
        <v>-40.571333333333335</v>
      </c>
      <c r="O63" s="11"/>
      <c r="P63" s="6">
        <v>-935.5</v>
      </c>
      <c r="Q63" s="2"/>
      <c r="R63" s="7">
        <f t="shared" si="48"/>
        <v>-1.5998106562951739E-2</v>
      </c>
      <c r="S63" s="2"/>
      <c r="T63" s="6">
        <v>55</v>
      </c>
      <c r="U63" s="2"/>
      <c r="V63" s="7">
        <f t="shared" si="49"/>
        <v>1.160337552742616E-3</v>
      </c>
      <c r="W63" s="2"/>
      <c r="X63" s="6">
        <f t="shared" si="50"/>
        <v>-990.5</v>
      </c>
      <c r="Y63" s="2"/>
      <c r="Z63" s="7">
        <f t="shared" si="51"/>
        <v>-18.009090909090908</v>
      </c>
    </row>
    <row r="64" spans="1:26" s="24" customFormat="1" hidden="1" outlineLevel="2" x14ac:dyDescent="0.3">
      <c r="A64" s="27"/>
      <c r="B64" s="11" t="str">
        <f>CONCATENATE("          ", "6247", " - ", "STORE SUPPLIES")</f>
        <v xml:space="preserve">          6247 - STORE SUPPLIES</v>
      </c>
      <c r="C64" s="11"/>
      <c r="D64" s="6">
        <v>1752.61</v>
      </c>
      <c r="E64" s="2"/>
      <c r="F64" s="7">
        <f t="shared" si="44"/>
        <v>3.1328007876466175E-2</v>
      </c>
      <c r="G64" s="2"/>
      <c r="H64" s="6">
        <v>0</v>
      </c>
      <c r="I64" s="2"/>
      <c r="J64" s="7">
        <f t="shared" si="45"/>
        <v>0</v>
      </c>
      <c r="K64" s="2"/>
      <c r="L64" s="6">
        <f t="shared" si="46"/>
        <v>1752.61</v>
      </c>
      <c r="M64" s="2"/>
      <c r="N64" s="7">
        <f t="shared" si="47"/>
        <v>0</v>
      </c>
      <c r="O64" s="11"/>
      <c r="P64" s="6">
        <v>2814.67</v>
      </c>
      <c r="Q64" s="2"/>
      <c r="R64" s="7">
        <f t="shared" si="48"/>
        <v>4.8134035916134014E-2</v>
      </c>
      <c r="S64" s="2"/>
      <c r="T64" s="6">
        <v>205</v>
      </c>
      <c r="U64" s="2"/>
      <c r="V64" s="7">
        <f t="shared" si="49"/>
        <v>4.3248945147679324E-3</v>
      </c>
      <c r="W64" s="2"/>
      <c r="X64" s="6">
        <f t="shared" si="50"/>
        <v>2609.67</v>
      </c>
      <c r="Y64" s="2"/>
      <c r="Z64" s="7">
        <f t="shared" si="51"/>
        <v>12.73009756097561</v>
      </c>
    </row>
    <row r="65" spans="1:26" s="28" customFormat="1" outlineLevel="1" collapsed="1" x14ac:dyDescent="0.3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SUM(OSRRefD22_9x_0)</f>
        <v>159.5</v>
      </c>
      <c r="E65" s="1"/>
      <c r="F65" s="5">
        <f t="shared" ref="F65:F66" si="52">IF(D$12=0,0,D65/D$12)</f>
        <v>2.8510719762504808E-3</v>
      </c>
      <c r="G65" s="1"/>
      <c r="H65" s="1">
        <f>SUM(OSRRefH22_9x_0)</f>
        <v>175</v>
      </c>
      <c r="I65" s="1"/>
      <c r="J65" s="5">
        <f t="shared" ref="J65:J66" si="53">IF(H$12=0,0,H65/H$12)</f>
        <v>3.9149888143176735E-3</v>
      </c>
      <c r="K65" s="1"/>
      <c r="L65" s="1">
        <f t="shared" ref="L65:L66" si="54">+D65-H65</f>
        <v>-15.5</v>
      </c>
      <c r="M65" s="1"/>
      <c r="N65" s="5">
        <f t="shared" ref="N65:N66" si="55">IF(H65=0,0,L65/H65)</f>
        <v>-8.8571428571428565E-2</v>
      </c>
      <c r="O65" s="14"/>
      <c r="P65" s="1">
        <f>SUM(OSRRefP22_9x_0)</f>
        <v>327.3</v>
      </c>
      <c r="Q65" s="1"/>
      <c r="R65" s="5">
        <f t="shared" ref="R65:R66" si="56">IF(P$12=0,0,P65/P$12)</f>
        <v>5.597199655856872E-3</v>
      </c>
      <c r="S65" s="1"/>
      <c r="T65" s="1">
        <f>SUM(OSRRefT22_9x_0)</f>
        <v>350</v>
      </c>
      <c r="U65" s="1"/>
      <c r="V65" s="5">
        <f t="shared" ref="V65:V66" si="57">IF(T$12=0,0,T65/T$12)</f>
        <v>7.3839662447257384E-3</v>
      </c>
      <c r="W65" s="1"/>
      <c r="X65" s="1">
        <f t="shared" ref="X65:X66" si="58">+P65-T65</f>
        <v>-22.699999999999989</v>
      </c>
      <c r="Y65" s="1"/>
      <c r="Z65" s="5">
        <f t="shared" ref="Z65:Z66" si="59">IF(T65=0,0,X65/T65)</f>
        <v>-6.4857142857142822E-2</v>
      </c>
    </row>
    <row r="66" spans="1:26" s="24" customFormat="1" hidden="1" outlineLevel="2" x14ac:dyDescent="0.3">
      <c r="A66" s="27"/>
      <c r="B66" s="11" t="str">
        <f>CONCATENATE("          ", "6309", " - ", "TELEPHONE")</f>
        <v xml:space="preserve">          6309 - TELEPHONE</v>
      </c>
      <c r="C66" s="11"/>
      <c r="D66" s="6">
        <v>159.5</v>
      </c>
      <c r="E66" s="2"/>
      <c r="F66" s="7">
        <f t="shared" si="52"/>
        <v>2.8510719762504808E-3</v>
      </c>
      <c r="G66" s="2"/>
      <c r="H66" s="6">
        <v>175</v>
      </c>
      <c r="I66" s="2"/>
      <c r="J66" s="7">
        <f t="shared" si="53"/>
        <v>3.9149888143176735E-3</v>
      </c>
      <c r="K66" s="2"/>
      <c r="L66" s="6">
        <f t="shared" si="54"/>
        <v>-15.5</v>
      </c>
      <c r="M66" s="2"/>
      <c r="N66" s="7">
        <f t="shared" si="55"/>
        <v>-8.8571428571428565E-2</v>
      </c>
      <c r="O66" s="11"/>
      <c r="P66" s="6">
        <v>327.3</v>
      </c>
      <c r="Q66" s="2"/>
      <c r="R66" s="7">
        <f t="shared" si="56"/>
        <v>5.597199655856872E-3</v>
      </c>
      <c r="S66" s="2"/>
      <c r="T66" s="6">
        <v>350</v>
      </c>
      <c r="U66" s="2"/>
      <c r="V66" s="7">
        <f t="shared" si="57"/>
        <v>7.3839662447257384E-3</v>
      </c>
      <c r="W66" s="2"/>
      <c r="X66" s="6">
        <f t="shared" si="58"/>
        <v>-22.699999999999989</v>
      </c>
      <c r="Y66" s="2"/>
      <c r="Z66" s="7">
        <f t="shared" si="59"/>
        <v>-6.4857142857142822E-2</v>
      </c>
    </row>
    <row r="67" spans="1:26" s="53" customFormat="1" x14ac:dyDescent="0.3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3">
      <c r="A68" s="10"/>
      <c r="B68" s="25" t="s">
        <v>293</v>
      </c>
      <c r="C68" s="10"/>
      <c r="D68" s="4">
        <f>SUM(OSRRefD25x_0)</f>
        <v>0</v>
      </c>
      <c r="E68" s="4"/>
      <c r="F68" s="12">
        <f t="shared" ref="F68:F69" si="60">IF(D$12=0,0,D68/D$12)</f>
        <v>0</v>
      </c>
      <c r="G68" s="4"/>
      <c r="H68" s="4">
        <f>SUM(OSRRefH25x_0)</f>
        <v>6782</v>
      </c>
      <c r="I68" s="4"/>
      <c r="J68" s="12">
        <f t="shared" ref="J68:J69" si="61">IF(H$12=0,0,H68/H$12)</f>
        <v>0.15172259507829977</v>
      </c>
      <c r="K68" s="4"/>
      <c r="L68" s="4">
        <f t="shared" ref="L68:L69" si="62">+D68-H68</f>
        <v>-6782</v>
      </c>
      <c r="M68" s="4"/>
      <c r="N68" s="12">
        <f t="shared" ref="N68:N69" si="63">IF(H68=0,0,L68/H68)</f>
        <v>-1</v>
      </c>
      <c r="O68" s="10"/>
      <c r="P68" s="4">
        <f>SUM(OSRRefP25x_0)</f>
        <v>0</v>
      </c>
      <c r="Q68" s="4"/>
      <c r="R68" s="12">
        <f t="shared" ref="R68:R69" si="64">IF(P$12=0,0,P68/P$12)</f>
        <v>0</v>
      </c>
      <c r="S68" s="4"/>
      <c r="T68" s="4">
        <f>SUM(OSRRefT25x_0)</f>
        <v>13564</v>
      </c>
      <c r="U68" s="4"/>
      <c r="V68" s="12">
        <f t="shared" ref="V68:V69" si="65">IF(T$12=0,0,T68/T$12)</f>
        <v>0.28616033755274262</v>
      </c>
      <c r="W68" s="4"/>
      <c r="X68" s="4">
        <f t="shared" ref="X68:X69" si="66">+P68-T68</f>
        <v>-13564</v>
      </c>
      <c r="Y68" s="4"/>
      <c r="Z68" s="12">
        <f t="shared" ref="Z68:Z69" si="67">IF(T68=0,0,X68/T68)</f>
        <v>-1</v>
      </c>
    </row>
    <row r="69" spans="1:26" s="24" customFormat="1" hidden="1" outlineLevel="1" x14ac:dyDescent="0.3">
      <c r="A69" s="44"/>
      <c r="B69" s="11" t="str">
        <f>CONCATENATE("          ", "9150", " - ", "MISC. INCOME")</f>
        <v xml:space="preserve">          9150 - MISC. INCOME</v>
      </c>
      <c r="C69" s="11"/>
      <c r="D69" s="2">
        <f>0</f>
        <v>0</v>
      </c>
      <c r="E69" s="2"/>
      <c r="F69" s="19">
        <f t="shared" si="60"/>
        <v>0</v>
      </c>
      <c r="G69" s="2"/>
      <c r="H69" s="2">
        <v>6782</v>
      </c>
      <c r="I69" s="2"/>
      <c r="J69" s="19">
        <f t="shared" si="61"/>
        <v>0.15172259507829977</v>
      </c>
      <c r="K69" s="2"/>
      <c r="L69" s="2">
        <f t="shared" si="62"/>
        <v>-6782</v>
      </c>
      <c r="M69" s="2"/>
      <c r="N69" s="19">
        <f t="shared" si="63"/>
        <v>-1</v>
      </c>
      <c r="O69" s="11"/>
      <c r="P69" s="2">
        <f>0</f>
        <v>0</v>
      </c>
      <c r="Q69" s="2"/>
      <c r="R69" s="19">
        <f t="shared" si="64"/>
        <v>0</v>
      </c>
      <c r="S69" s="2"/>
      <c r="T69" s="2">
        <v>13564</v>
      </c>
      <c r="U69" s="2"/>
      <c r="V69" s="19">
        <f t="shared" si="65"/>
        <v>0.28616033755274262</v>
      </c>
      <c r="W69" s="2"/>
      <c r="X69" s="2">
        <f t="shared" si="66"/>
        <v>-13564</v>
      </c>
      <c r="Y69" s="2"/>
      <c r="Z69" s="19">
        <f t="shared" si="67"/>
        <v>-1</v>
      </c>
    </row>
    <row r="70" spans="1:26" x14ac:dyDescent="0.3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3">
      <c r="A71" s="10"/>
      <c r="B71" s="26" t="s">
        <v>277</v>
      </c>
      <c r="C71" s="26"/>
      <c r="D71" s="21">
        <f>+D22-D24+D68</f>
        <v>38105.460000000006</v>
      </c>
      <c r="E71" s="13"/>
      <c r="F71" s="20">
        <f>IF(D$12=0,0,D71/D$12)</f>
        <v>0.68113736143030512</v>
      </c>
      <c r="G71" s="13"/>
      <c r="H71" s="21">
        <f>+H22-H24+H68</f>
        <v>59850.868195769217</v>
      </c>
      <c r="I71" s="13"/>
      <c r="J71" s="20">
        <f>IF(H$12=0,0,H71/H$12)</f>
        <v>1.3389455972207878</v>
      </c>
      <c r="K71" s="16"/>
      <c r="L71" s="21">
        <f>+D71-H71</f>
        <v>-21745.408195769211</v>
      </c>
      <c r="M71" s="16"/>
      <c r="N71" s="20">
        <f>IF(H71=0,0,L71/H71)</f>
        <v>-0.36332652894258877</v>
      </c>
      <c r="O71" s="25"/>
      <c r="P71" s="21">
        <f>+P22-P24+P68</f>
        <v>2978.3799999999974</v>
      </c>
      <c r="Q71" s="13"/>
      <c r="R71" s="20">
        <f>IF(P$12=0,0,P71/P$12)</f>
        <v>5.0933661811826993E-2</v>
      </c>
      <c r="S71" s="13"/>
      <c r="T71" s="21">
        <f>+T22-T24+T68</f>
        <v>18056.086440480693</v>
      </c>
      <c r="U71" s="13"/>
      <c r="V71" s="20">
        <f>IF(T$12=0,0,T71/T$12)</f>
        <v>0.38093009368102726</v>
      </c>
      <c r="W71" s="16"/>
      <c r="X71" s="21">
        <f>+P71-T71</f>
        <v>-15077.706440480695</v>
      </c>
      <c r="Y71" s="16"/>
      <c r="Z71" s="20">
        <f>IF(T71=0,0,X71/T71)</f>
        <v>-0.83504841927857398</v>
      </c>
    </row>
    <row r="72" spans="1:26" x14ac:dyDescent="0.3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">
      <c r="A73" s="52"/>
      <c r="B73" s="10" t="s">
        <v>128</v>
      </c>
      <c r="C73" s="10"/>
      <c r="D73" s="4">
        <v>7568.52</v>
      </c>
      <c r="E73" s="4"/>
      <c r="F73" s="12">
        <f>IF(D$12=0,0,D73/D$12)</f>
        <v>0.13528774466264132</v>
      </c>
      <c r="G73" s="4"/>
      <c r="H73" s="4">
        <v>4331</v>
      </c>
      <c r="I73" s="4"/>
      <c r="J73" s="12">
        <f>IF(H$12=0,0,H73/H$12)</f>
        <v>9.6890380313199104E-2</v>
      </c>
      <c r="K73" s="4"/>
      <c r="L73" s="4">
        <f>+D73-H73</f>
        <v>3237.5200000000004</v>
      </c>
      <c r="M73" s="4"/>
      <c r="N73" s="12">
        <f>IF(H73=0,0,L73/H73)</f>
        <v>0.7475225121219119</v>
      </c>
      <c r="O73" s="10"/>
      <c r="P73" s="4">
        <v>8738.2000000000007</v>
      </c>
      <c r="Q73" s="4"/>
      <c r="R73" s="12">
        <f>IF(P$12=0,0,P73/P$12)</f>
        <v>0.14943308900949748</v>
      </c>
      <c r="S73" s="4"/>
      <c r="T73" s="4">
        <v>5309</v>
      </c>
      <c r="U73" s="4"/>
      <c r="V73" s="12">
        <f>IF(T$12=0,0,T73/T$12)</f>
        <v>0.11200421940928271</v>
      </c>
      <c r="W73" s="4"/>
      <c r="X73" s="4">
        <f>+P73-T73</f>
        <v>3429.2000000000007</v>
      </c>
      <c r="Y73" s="4"/>
      <c r="Z73" s="12">
        <f>IF(T73=0,0,X73/T73)</f>
        <v>0.64592201921265791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" thickBot="1" x14ac:dyDescent="0.35">
      <c r="A75" s="10"/>
      <c r="B75" s="26" t="s">
        <v>126</v>
      </c>
      <c r="C75" s="26"/>
      <c r="D75" s="30">
        <f>+D71-D73</f>
        <v>30536.940000000006</v>
      </c>
      <c r="E75" s="13"/>
      <c r="F75" s="35">
        <f>IF(D$12=0,0,D75/D$12)</f>
        <v>0.54584961676766386</v>
      </c>
      <c r="G75" s="13"/>
      <c r="H75" s="30">
        <f>+H71-H73</f>
        <v>55519.868195769217</v>
      </c>
      <c r="I75" s="13"/>
      <c r="J75" s="35">
        <f>IF(H$12=0,0,H75/H$12)</f>
        <v>1.2420552169075887</v>
      </c>
      <c r="K75" s="16"/>
      <c r="L75" s="30">
        <f>D75-H75</f>
        <v>-24982.928195769211</v>
      </c>
      <c r="M75" s="16"/>
      <c r="N75" s="35">
        <f>IF(H75=0,0,L75/H75)</f>
        <v>-0.44998176342344032</v>
      </c>
      <c r="O75" s="25"/>
      <c r="P75" s="30">
        <f>+P71-P73</f>
        <v>-5759.8200000000033</v>
      </c>
      <c r="Q75" s="13"/>
      <c r="R75" s="35">
        <f>IF(P$12=0,0,P75/P$12)</f>
        <v>-9.8499427197670478E-2</v>
      </c>
      <c r="S75" s="13"/>
      <c r="T75" s="30">
        <f>+T71-T73</f>
        <v>12747.086440480693</v>
      </c>
      <c r="U75" s="13"/>
      <c r="V75" s="35">
        <f>IF(T$12=0,0,T75/T$12)</f>
        <v>0.26892587427174458</v>
      </c>
      <c r="W75" s="16"/>
      <c r="X75" s="30">
        <f>P75-T75</f>
        <v>-18506.906440480696</v>
      </c>
      <c r="Y75" s="16"/>
      <c r="Z75" s="35">
        <f>IF(T75=0,0,X75/T75)</f>
        <v>-1.4518538433777815</v>
      </c>
    </row>
    <row r="76" spans="1:26" ht="15" thickTop="1" x14ac:dyDescent="0.3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3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35">
      <c r="A78" s="10"/>
      <c r="B78" s="26" t="s">
        <v>294</v>
      </c>
      <c r="C78" s="26"/>
      <c r="D78" s="32">
        <f>SUM(D75:D77)</f>
        <v>30536.940000000006</v>
      </c>
      <c r="E78" s="13"/>
      <c r="F78" s="34">
        <f>IF(D$12=0,0,D78/D$12)</f>
        <v>0.54584961676766386</v>
      </c>
      <c r="G78" s="13"/>
      <c r="H78" s="32">
        <f>SUM(H75:H77)</f>
        <v>55519.868195769217</v>
      </c>
      <c r="I78" s="13"/>
      <c r="J78" s="34">
        <f>IF(H$12=0,0,H78/H$12)</f>
        <v>1.2420552169075887</v>
      </c>
      <c r="K78" s="16"/>
      <c r="L78" s="32">
        <f>+D78-H78</f>
        <v>-24982.928195769211</v>
      </c>
      <c r="M78" s="16"/>
      <c r="N78" s="34">
        <f>IF(H78=0,0,L78/H78)</f>
        <v>-0.44998176342344032</v>
      </c>
      <c r="O78" s="25"/>
      <c r="P78" s="32">
        <f>SUM(P75:P77)</f>
        <v>-5759.8200000000033</v>
      </c>
      <c r="Q78" s="13"/>
      <c r="R78" s="34">
        <f>IF(P$12=0,0,P78/P$12)</f>
        <v>-9.8499427197670478E-2</v>
      </c>
      <c r="S78" s="13"/>
      <c r="T78" s="32">
        <f>SUM(T75:T77)</f>
        <v>12747.086440480693</v>
      </c>
      <c r="U78" s="13"/>
      <c r="V78" s="34">
        <f>IF(T$12=0,0,T78/T$12)</f>
        <v>0.26892587427174458</v>
      </c>
      <c r="W78" s="16"/>
      <c r="X78" s="32">
        <f>+P78-T78</f>
        <v>-18506.906440480696</v>
      </c>
      <c r="Y78" s="16"/>
      <c r="Z78" s="34">
        <f>IF(T78=0,0,X78/T78)</f>
        <v>-1.4518538433777815</v>
      </c>
    </row>
    <row r="79" spans="1:26" ht="15" thickTop="1" x14ac:dyDescent="0.3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3">
      <c r="A80" s="9"/>
      <c r="B80" s="61">
        <v>44470.835441631942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3">
      <c r="A81" s="9"/>
      <c r="B81" s="58" t="s">
        <v>56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">
      <c r="A82" s="9"/>
      <c r="B82" s="55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","316", " - ", "Campus Copy Center")</f>
        <v>Department 316 - Campus Copy Center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55943.87</v>
      </c>
      <c r="E12" s="4"/>
      <c r="F12" s="12"/>
      <c r="G12" s="4"/>
      <c r="H12" s="4">
        <f>SUM(OSRRefH13x_0)</f>
        <v>44700</v>
      </c>
      <c r="I12" s="4"/>
      <c r="J12" s="12"/>
      <c r="K12" s="4"/>
      <c r="L12" s="4">
        <f t="shared" ref="L12:L17" si="0">+D12-H12</f>
        <v>11243.870000000003</v>
      </c>
      <c r="M12" s="4"/>
      <c r="N12" s="12">
        <f t="shared" ref="N12:N17" si="1">IF(H12=0,0,L12/H12)</f>
        <v>0.25154071588366894</v>
      </c>
      <c r="O12" s="10"/>
      <c r="P12" s="4">
        <f>SUM(OSRRefP13x_0)</f>
        <v>58475.67</v>
      </c>
      <c r="Q12" s="4"/>
      <c r="R12" s="12"/>
      <c r="S12" s="4"/>
      <c r="T12" s="4">
        <f>SUM(OSRRefT13x_0)</f>
        <v>47400</v>
      </c>
      <c r="U12" s="4"/>
      <c r="V12" s="12"/>
      <c r="W12" s="4"/>
      <c r="X12" s="4">
        <f t="shared" ref="X12:X17" si="2">+P12-T12</f>
        <v>11075.669999999998</v>
      </c>
      <c r="Y12" s="4"/>
      <c r="Z12" s="12">
        <f t="shared" ref="Z12:Z17" si="3">IF(T12=0,0,X12/T12)</f>
        <v>0.23366392405063288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--52570.47</f>
        <v>52570.47</v>
      </c>
      <c r="E13" s="2"/>
      <c r="F13" s="19"/>
      <c r="G13" s="2"/>
      <c r="H13" s="2">
        <v>35000</v>
      </c>
      <c r="I13" s="2"/>
      <c r="J13" s="19"/>
      <c r="K13" s="2"/>
      <c r="L13" s="2">
        <f t="shared" si="0"/>
        <v>17570.47</v>
      </c>
      <c r="M13" s="2"/>
      <c r="N13" s="19">
        <f t="shared" si="1"/>
        <v>0.50201342857142861</v>
      </c>
      <c r="O13" s="11"/>
      <c r="P13" s="2">
        <f>--54800.62</f>
        <v>54800.62</v>
      </c>
      <c r="Q13" s="2"/>
      <c r="R13" s="19"/>
      <c r="S13" s="2"/>
      <c r="T13" s="2">
        <v>37700</v>
      </c>
      <c r="U13" s="2"/>
      <c r="V13" s="19"/>
      <c r="W13" s="2"/>
      <c r="X13" s="2">
        <f t="shared" si="2"/>
        <v>17100.620000000003</v>
      </c>
      <c r="Y13" s="2"/>
      <c r="Z13" s="19">
        <f t="shared" si="3"/>
        <v>0.45359734748010616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--553.4</f>
        <v>553.4</v>
      </c>
      <c r="E14" s="2"/>
      <c r="F14" s="19"/>
      <c r="G14" s="2"/>
      <c r="H14" s="2">
        <v>9700</v>
      </c>
      <c r="I14" s="2"/>
      <c r="J14" s="19"/>
      <c r="K14" s="2"/>
      <c r="L14" s="2">
        <f t="shared" si="0"/>
        <v>-9146.6</v>
      </c>
      <c r="M14" s="2"/>
      <c r="N14" s="19">
        <f t="shared" si="1"/>
        <v>-0.94294845360824742</v>
      </c>
      <c r="O14" s="11"/>
      <c r="P14" s="2">
        <f>--834.85</f>
        <v>834.85</v>
      </c>
      <c r="Q14" s="2"/>
      <c r="R14" s="19"/>
      <c r="S14" s="2"/>
      <c r="T14" s="2">
        <v>9700</v>
      </c>
      <c r="U14" s="2"/>
      <c r="V14" s="19"/>
      <c r="W14" s="2"/>
      <c r="X14" s="2">
        <f t="shared" si="2"/>
        <v>-8865.15</v>
      </c>
      <c r="Y14" s="2"/>
      <c r="Z14" s="19">
        <f t="shared" si="3"/>
        <v>-0.91393298969072156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--389.5</f>
        <v>389.5</v>
      </c>
      <c r="E15" s="2"/>
      <c r="F15" s="19"/>
      <c r="G15" s="2"/>
      <c r="H15" s="2"/>
      <c r="I15" s="2"/>
      <c r="J15" s="19"/>
      <c r="K15" s="2"/>
      <c r="L15" s="2">
        <f t="shared" si="0"/>
        <v>389.5</v>
      </c>
      <c r="M15" s="2"/>
      <c r="N15" s="19">
        <f t="shared" si="1"/>
        <v>0</v>
      </c>
      <c r="O15" s="11"/>
      <c r="P15" s="2">
        <f>--389.5</f>
        <v>389.5</v>
      </c>
      <c r="Q15" s="2"/>
      <c r="R15" s="19"/>
      <c r="S15" s="2"/>
      <c r="T15" s="2"/>
      <c r="U15" s="2"/>
      <c r="V15" s="19"/>
      <c r="W15" s="2"/>
      <c r="X15" s="2">
        <f t="shared" si="2"/>
        <v>389.5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--2713.4</f>
        <v>2713.4</v>
      </c>
      <c r="E16" s="2"/>
      <c r="F16" s="19"/>
      <c r="G16" s="2"/>
      <c r="H16" s="2"/>
      <c r="I16" s="2"/>
      <c r="J16" s="19"/>
      <c r="K16" s="2"/>
      <c r="L16" s="2">
        <f t="shared" si="0"/>
        <v>2713.4</v>
      </c>
      <c r="M16" s="2"/>
      <c r="N16" s="19">
        <f t="shared" si="1"/>
        <v>0</v>
      </c>
      <c r="O16" s="11"/>
      <c r="P16" s="2">
        <f>--2733.6</f>
        <v>2733.6</v>
      </c>
      <c r="Q16" s="2"/>
      <c r="R16" s="19"/>
      <c r="S16" s="2"/>
      <c r="T16" s="2"/>
      <c r="U16" s="2"/>
      <c r="V16" s="19"/>
      <c r="W16" s="2"/>
      <c r="X16" s="2">
        <f t="shared" si="2"/>
        <v>2733.6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-282.9</f>
        <v>-282.89999999999998</v>
      </c>
      <c r="E17" s="2"/>
      <c r="F17" s="19"/>
      <c r="G17" s="2"/>
      <c r="H17" s="2"/>
      <c r="I17" s="2"/>
      <c r="J17" s="19"/>
      <c r="K17" s="2"/>
      <c r="L17" s="2">
        <f t="shared" si="0"/>
        <v>-282.89999999999998</v>
      </c>
      <c r="M17" s="2"/>
      <c r="N17" s="19">
        <f t="shared" si="1"/>
        <v>0</v>
      </c>
      <c r="O17" s="11"/>
      <c r="P17" s="2">
        <f>-282.9</f>
        <v>-282.89999999999998</v>
      </c>
      <c r="Q17" s="2"/>
      <c r="R17" s="19"/>
      <c r="S17" s="2"/>
      <c r="T17" s="2"/>
      <c r="U17" s="2"/>
      <c r="V17" s="19"/>
      <c r="W17" s="2"/>
      <c r="X17" s="2">
        <f t="shared" si="2"/>
        <v>-282.89999999999998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0</v>
      </c>
      <c r="E19" s="4"/>
      <c r="F19" s="12">
        <f t="shared" ref="F19:F20" si="4">IF(D$12=0,0,D19/D$12)</f>
        <v>0</v>
      </c>
      <c r="G19" s="4"/>
      <c r="H19" s="4">
        <f>SUM(OSRRefH16x_0)</f>
        <v>0</v>
      </c>
      <c r="I19" s="4"/>
      <c r="J19" s="12">
        <f t="shared" ref="J19:J20" si="5">IF(H$12=0,0,H19/H$12)</f>
        <v>0</v>
      </c>
      <c r="K19" s="4"/>
      <c r="L19" s="4">
        <f t="shared" ref="L19:L20" si="6">+D19-H19</f>
        <v>0</v>
      </c>
      <c r="M19" s="4"/>
      <c r="N19" s="12">
        <f t="shared" ref="N19:N20" si="7">IF(H19=0,0,L19/H19)</f>
        <v>0</v>
      </c>
      <c r="O19" s="10"/>
      <c r="P19" s="4">
        <f>SUM(OSRRefP16x_0)</f>
        <v>0</v>
      </c>
      <c r="Q19" s="4"/>
      <c r="R19" s="12">
        <f t="shared" ref="R19:R20" si="8">IF(P$12=0,0,P19/P$12)</f>
        <v>0</v>
      </c>
      <c r="S19" s="4"/>
      <c r="T19" s="4">
        <f>SUM(OSRRefT16x_0)</f>
        <v>0</v>
      </c>
      <c r="U19" s="4"/>
      <c r="V19" s="12">
        <f t="shared" ref="V19:V20" si="9">IF(T$12=0,0,T19/T$12)</f>
        <v>0</v>
      </c>
      <c r="W19" s="4"/>
      <c r="X19" s="4">
        <f t="shared" ref="X19:X20" si="10">+P19-T19</f>
        <v>0</v>
      </c>
      <c r="Y19" s="4"/>
      <c r="Z19" s="12">
        <f t="shared" ref="Z19:Z20" si="11">IF(T19=0,0,X19/T19)</f>
        <v>0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0</v>
      </c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/>
      <c r="Q20" s="2"/>
      <c r="R20" s="19">
        <f t="shared" si="8"/>
        <v>0</v>
      </c>
      <c r="S20" s="2"/>
      <c r="T20" s="2">
        <v>0</v>
      </c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108</v>
      </c>
      <c r="C22" s="26"/>
      <c r="D22" s="21">
        <f>D12-D19</f>
        <v>55943.87</v>
      </c>
      <c r="E22" s="13"/>
      <c r="F22" s="20">
        <f>IF(D$12=0,0,D22/D$12)</f>
        <v>1</v>
      </c>
      <c r="G22" s="13"/>
      <c r="H22" s="21">
        <f>H12-H19</f>
        <v>44700</v>
      </c>
      <c r="I22" s="13"/>
      <c r="J22" s="20">
        <f>IF(H$12=0,0,H22/H$12)</f>
        <v>1</v>
      </c>
      <c r="K22" s="16"/>
      <c r="L22" s="21">
        <f>+D22-H22</f>
        <v>11243.870000000003</v>
      </c>
      <c r="M22" s="16"/>
      <c r="N22" s="20">
        <f>IF(H22=0,0,L22/H22)</f>
        <v>0.25154071588366894</v>
      </c>
      <c r="O22" s="25"/>
      <c r="P22" s="21">
        <f>P12-P19</f>
        <v>58475.67</v>
      </c>
      <c r="Q22" s="13"/>
      <c r="R22" s="20">
        <f>IF(P$12=0,0,P22/P$12)</f>
        <v>1</v>
      </c>
      <c r="S22" s="13"/>
      <c r="T22" s="21">
        <f>T12-T19</f>
        <v>47400</v>
      </c>
      <c r="U22" s="13"/>
      <c r="V22" s="20">
        <f>IF(T$12=0,0,T22/T$12)</f>
        <v>1</v>
      </c>
      <c r="W22" s="16"/>
      <c r="X22" s="21">
        <f>+P22-T22</f>
        <v>11075.669999999998</v>
      </c>
      <c r="Y22" s="16"/>
      <c r="Z22" s="20">
        <f>IF(T22=0,0,X22/T22)</f>
        <v>0.23366392405063288</v>
      </c>
    </row>
    <row r="23" spans="1:26" x14ac:dyDescent="0.3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295</v>
      </c>
      <c r="C24" s="10"/>
      <c r="D24" s="22">
        <f>SUM(OSRRefD22x_0)</f>
        <v>17838.41</v>
      </c>
      <c r="E24" s="22"/>
      <c r="F24" s="31">
        <f t="shared" ref="F24:F34" si="12">IF(D$12=0,0,D24/D$12)</f>
        <v>0.31886263856969493</v>
      </c>
      <c r="G24" s="22"/>
      <c r="H24" s="22">
        <f>SUM(OSRRefH22x_0)</f>
        <v>-8368.868195769217</v>
      </c>
      <c r="I24" s="22"/>
      <c r="J24" s="31">
        <f t="shared" ref="J24:J34" si="13">IF(H$12=0,0,H24/H$12)</f>
        <v>-0.18722300214248808</v>
      </c>
      <c r="K24" s="4"/>
      <c r="L24" s="22">
        <f t="shared" ref="L24:L34" si="14">+D24-H24</f>
        <v>26207.278195769217</v>
      </c>
      <c r="M24" s="4"/>
      <c r="N24" s="31">
        <f t="shared" ref="N24:N34" si="15">IF(H24=0,0,L24/H24)</f>
        <v>-3.1315200075701992</v>
      </c>
      <c r="O24" s="10"/>
      <c r="P24" s="22">
        <f>SUM(OSRRefP22x_0)</f>
        <v>55497.29</v>
      </c>
      <c r="Q24" s="22"/>
      <c r="R24" s="31">
        <f t="shared" ref="R24:R34" si="16">IF(P$12=0,0,P24/P$12)</f>
        <v>0.94906633818817299</v>
      </c>
      <c r="S24" s="22"/>
      <c r="T24" s="22">
        <f>SUM(OSRRefT22x_0)</f>
        <v>42907.913559519307</v>
      </c>
      <c r="U24" s="22"/>
      <c r="V24" s="31">
        <f t="shared" ref="V24:V34" si="17">IF(T$12=0,0,T24/T$12)</f>
        <v>0.90523024387171536</v>
      </c>
      <c r="W24" s="4"/>
      <c r="X24" s="22">
        <f t="shared" ref="X24:X34" si="18">+P24-T24</f>
        <v>12589.376440480693</v>
      </c>
      <c r="Y24" s="4"/>
      <c r="Z24" s="31">
        <f t="shared" ref="Z24:Z34" si="19">IF(T24=0,0,X24/T24)</f>
        <v>0.29340453534328714</v>
      </c>
    </row>
    <row r="25" spans="1:26" s="28" customFormat="1" outlineLevel="1" collapsed="1" x14ac:dyDescent="0.3">
      <c r="A25" s="29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9174.36</v>
      </c>
      <c r="E25" s="1"/>
      <c r="F25" s="5">
        <f t="shared" si="12"/>
        <v>0.16399223006917468</v>
      </c>
      <c r="G25" s="1"/>
      <c r="H25" s="1">
        <f>SUM(OSRRefH22_0x_0)</f>
        <v>9060.2587273076842</v>
      </c>
      <c r="I25" s="1"/>
      <c r="J25" s="5">
        <f t="shared" si="13"/>
        <v>0.20269035184133521</v>
      </c>
      <c r="K25" s="1"/>
      <c r="L25" s="1">
        <f t="shared" si="14"/>
        <v>114.10127269231634</v>
      </c>
      <c r="M25" s="1"/>
      <c r="N25" s="5">
        <f t="shared" si="15"/>
        <v>1.2593599821649055E-2</v>
      </c>
      <c r="O25" s="14"/>
      <c r="P25" s="1">
        <f>SUM(OSRRefP22_0x_0)</f>
        <v>18095.68</v>
      </c>
      <c r="Q25" s="1"/>
      <c r="R25" s="5">
        <f t="shared" si="16"/>
        <v>0.30945656543995137</v>
      </c>
      <c r="S25" s="1"/>
      <c r="T25" s="1">
        <f>SUM(OSRRefT22_0x_0)</f>
        <v>19167.699136442297</v>
      </c>
      <c r="U25" s="1"/>
      <c r="V25" s="5">
        <f t="shared" si="17"/>
        <v>0.40438183832156743</v>
      </c>
      <c r="W25" s="1"/>
      <c r="X25" s="1">
        <f t="shared" si="18"/>
        <v>-1072.0191364422972</v>
      </c>
      <c r="Y25" s="1"/>
      <c r="Z25" s="5">
        <f t="shared" si="19"/>
        <v>-5.5928420454186757E-2</v>
      </c>
    </row>
    <row r="26" spans="1:26" s="24" customFormat="1" hidden="1" outlineLevel="2" x14ac:dyDescent="0.3">
      <c r="A26" s="27"/>
      <c r="B26" s="11" t="str">
        <f>CONCATENATE("          ", "6111", " - ", "F.I.C.A.")</f>
        <v xml:space="preserve">          6111 - F.I.C.A.</v>
      </c>
      <c r="C26" s="11"/>
      <c r="D26" s="6">
        <v>1387.4</v>
      </c>
      <c r="E26" s="2"/>
      <c r="F26" s="7">
        <f t="shared" si="12"/>
        <v>2.4799857428526129E-2</v>
      </c>
      <c r="G26" s="2"/>
      <c r="H26" s="6">
        <v>1395.5451542307701</v>
      </c>
      <c r="I26" s="2"/>
      <c r="J26" s="7">
        <f t="shared" si="13"/>
        <v>3.1220249535363984E-2</v>
      </c>
      <c r="K26" s="2"/>
      <c r="L26" s="6">
        <f t="shared" si="14"/>
        <v>-8.1451542307700038</v>
      </c>
      <c r="M26" s="2"/>
      <c r="N26" s="7">
        <f t="shared" si="15"/>
        <v>-5.8365393667678522E-3</v>
      </c>
      <c r="O26" s="11"/>
      <c r="P26" s="6">
        <v>2634.91</v>
      </c>
      <c r="Q26" s="2"/>
      <c r="R26" s="7">
        <f t="shared" si="16"/>
        <v>4.5059936893412249E-2</v>
      </c>
      <c r="S26" s="2"/>
      <c r="T26" s="6">
        <v>2979.26359701923</v>
      </c>
      <c r="U26" s="2"/>
      <c r="V26" s="7">
        <f t="shared" si="17"/>
        <v>6.2853662384371942E-2</v>
      </c>
      <c r="W26" s="2"/>
      <c r="X26" s="6">
        <f t="shared" si="18"/>
        <v>-344.35359701923016</v>
      </c>
      <c r="Y26" s="2"/>
      <c r="Z26" s="7">
        <f t="shared" si="19"/>
        <v>-0.11558346074639313</v>
      </c>
    </row>
    <row r="27" spans="1:26" s="24" customFormat="1" hidden="1" outlineLevel="2" x14ac:dyDescent="0.3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285</v>
      </c>
      <c r="E27" s="2"/>
      <c r="F27" s="7">
        <f t="shared" si="12"/>
        <v>5.0943919324851856E-3</v>
      </c>
      <c r="G27" s="2"/>
      <c r="H27" s="6">
        <v>284.47019999999998</v>
      </c>
      <c r="I27" s="2"/>
      <c r="J27" s="7">
        <f t="shared" si="13"/>
        <v>6.3639865771812076E-3</v>
      </c>
      <c r="K27" s="2"/>
      <c r="L27" s="6">
        <f t="shared" si="14"/>
        <v>0.52980000000002292</v>
      </c>
      <c r="M27" s="2"/>
      <c r="N27" s="7">
        <f t="shared" si="15"/>
        <v>1.8624094896408233E-3</v>
      </c>
      <c r="O27" s="11"/>
      <c r="P27" s="6">
        <v>536.73</v>
      </c>
      <c r="Q27" s="2"/>
      <c r="R27" s="7">
        <f t="shared" si="16"/>
        <v>9.1786891881700545E-3</v>
      </c>
      <c r="S27" s="2"/>
      <c r="T27" s="6">
        <v>607.29795000000001</v>
      </c>
      <c r="U27" s="2"/>
      <c r="V27" s="7">
        <f t="shared" si="17"/>
        <v>1.2812193037974684E-2</v>
      </c>
      <c r="W27" s="2"/>
      <c r="X27" s="6">
        <f t="shared" si="18"/>
        <v>-70.567949999999996</v>
      </c>
      <c r="Y27" s="2"/>
      <c r="Z27" s="7">
        <f t="shared" si="19"/>
        <v>-0.116199881787844</v>
      </c>
    </row>
    <row r="28" spans="1:26" s="24" customFormat="1" hidden="1" outlineLevel="2" x14ac:dyDescent="0.3">
      <c r="A28" s="27"/>
      <c r="B28" s="11" t="str">
        <f>CONCATENATE("          ", "6113", " - ", "GROUP INSURANCE")</f>
        <v xml:space="preserve">          6113 - GROUP INSURANCE</v>
      </c>
      <c r="C28" s="11"/>
      <c r="D28" s="6">
        <v>3410.23</v>
      </c>
      <c r="E28" s="2"/>
      <c r="F28" s="7">
        <f t="shared" si="12"/>
        <v>6.0958063859364753E-2</v>
      </c>
      <c r="G28" s="2"/>
      <c r="H28" s="6">
        <v>3303</v>
      </c>
      <c r="I28" s="2"/>
      <c r="J28" s="7">
        <f t="shared" si="13"/>
        <v>7.3892617449664424E-2</v>
      </c>
      <c r="K28" s="2"/>
      <c r="L28" s="6">
        <f t="shared" si="14"/>
        <v>107.23000000000002</v>
      </c>
      <c r="M28" s="2"/>
      <c r="N28" s="7">
        <f t="shared" si="15"/>
        <v>3.2464426279140181E-2</v>
      </c>
      <c r="O28" s="11"/>
      <c r="P28" s="6">
        <v>6820.46</v>
      </c>
      <c r="Q28" s="2"/>
      <c r="R28" s="7">
        <f t="shared" si="16"/>
        <v>0.11663756909497575</v>
      </c>
      <c r="S28" s="2"/>
      <c r="T28" s="6">
        <v>6606</v>
      </c>
      <c r="U28" s="2"/>
      <c r="V28" s="7">
        <f t="shared" si="17"/>
        <v>0.13936708860759495</v>
      </c>
      <c r="W28" s="2"/>
      <c r="X28" s="6">
        <f t="shared" si="18"/>
        <v>214.46000000000004</v>
      </c>
      <c r="Y28" s="2"/>
      <c r="Z28" s="7">
        <f t="shared" si="19"/>
        <v>3.2464426279140181E-2</v>
      </c>
    </row>
    <row r="29" spans="1:26" s="24" customFormat="1" hidden="1" outlineLevel="2" x14ac:dyDescent="0.3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50.07</v>
      </c>
      <c r="E29" s="2"/>
      <c r="F29" s="7">
        <f t="shared" si="12"/>
        <v>8.9500422477029203E-4</v>
      </c>
      <c r="G29" s="2"/>
      <c r="H29" s="6">
        <v>38.294065384615401</v>
      </c>
      <c r="I29" s="2"/>
      <c r="J29" s="7">
        <f t="shared" si="13"/>
        <v>8.5669050077439375E-4</v>
      </c>
      <c r="K29" s="2"/>
      <c r="L29" s="6">
        <f t="shared" si="14"/>
        <v>11.7759346153846</v>
      </c>
      <c r="M29" s="2"/>
      <c r="N29" s="7">
        <f t="shared" si="15"/>
        <v>0.3075133051847655</v>
      </c>
      <c r="O29" s="11"/>
      <c r="P29" s="6">
        <v>94.29</v>
      </c>
      <c r="Q29" s="2"/>
      <c r="R29" s="7">
        <f t="shared" si="16"/>
        <v>1.6124654920584923E-3</v>
      </c>
      <c r="S29" s="2"/>
      <c r="T29" s="6">
        <v>81.7516471153846</v>
      </c>
      <c r="U29" s="2"/>
      <c r="V29" s="7">
        <f t="shared" si="17"/>
        <v>1.7247182935735148E-3</v>
      </c>
      <c r="W29" s="2"/>
      <c r="X29" s="6">
        <f t="shared" si="18"/>
        <v>12.538352884615406</v>
      </c>
      <c r="Y29" s="2"/>
      <c r="Z29" s="7">
        <f t="shared" si="19"/>
        <v>0.15337125705759452</v>
      </c>
    </row>
    <row r="30" spans="1:26" s="24" customFormat="1" hidden="1" outlineLevel="2" x14ac:dyDescent="0.3">
      <c r="A30" s="27"/>
      <c r="B30" s="11" t="str">
        <f>CONCATENATE("          ", "6115", " - ", "P.E.R.S.")</f>
        <v xml:space="preserve">          6115 - P.E.R.S.</v>
      </c>
      <c r="C30" s="11"/>
      <c r="D30" s="6">
        <v>1590.79</v>
      </c>
      <c r="E30" s="2"/>
      <c r="F30" s="7">
        <f t="shared" si="12"/>
        <v>2.8435465762379326E-2</v>
      </c>
      <c r="G30" s="2"/>
      <c r="H30" s="6">
        <v>1423.7531538461501</v>
      </c>
      <c r="I30" s="2"/>
      <c r="J30" s="7">
        <f t="shared" si="13"/>
        <v>3.1851300980898216E-2</v>
      </c>
      <c r="K30" s="2"/>
      <c r="L30" s="6">
        <f t="shared" si="14"/>
        <v>167.03684615384987</v>
      </c>
      <c r="M30" s="2"/>
      <c r="N30" s="7">
        <f t="shared" si="15"/>
        <v>0.11732149333795243</v>
      </c>
      <c r="O30" s="11"/>
      <c r="P30" s="6">
        <v>3181.58</v>
      </c>
      <c r="Q30" s="2"/>
      <c r="R30" s="7">
        <f t="shared" si="16"/>
        <v>5.4408611307916611E-2</v>
      </c>
      <c r="S30" s="2"/>
      <c r="T30" s="6">
        <v>3203.4445961538399</v>
      </c>
      <c r="U30" s="2"/>
      <c r="V30" s="7">
        <f t="shared" si="17"/>
        <v>6.7583219328140084E-2</v>
      </c>
      <c r="W30" s="2"/>
      <c r="X30" s="6">
        <f t="shared" si="18"/>
        <v>-21.864596153840012</v>
      </c>
      <c r="Y30" s="2"/>
      <c r="Z30" s="7">
        <f t="shared" si="19"/>
        <v>-6.8253392551540799E-3</v>
      </c>
    </row>
    <row r="31" spans="1:26" s="24" customFormat="1" hidden="1" outlineLevel="2" x14ac:dyDescent="0.3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3">
      <c r="A32" s="27"/>
      <c r="B32" s="11" t="str">
        <f>CONCATENATE("          ", "6118", " - ", "VACATION")</f>
        <v xml:space="preserve">          6118 - VACATION</v>
      </c>
      <c r="C32" s="11"/>
      <c r="D32" s="6">
        <v>1216.0999999999999</v>
      </c>
      <c r="E32" s="2"/>
      <c r="F32" s="7">
        <f t="shared" si="12"/>
        <v>2.1737859751211345E-2</v>
      </c>
      <c r="G32" s="2"/>
      <c r="H32" s="6">
        <v>1389.43038461538</v>
      </c>
      <c r="I32" s="2"/>
      <c r="J32" s="7">
        <f t="shared" si="13"/>
        <v>3.1083453794527517E-2</v>
      </c>
      <c r="K32" s="2"/>
      <c r="L32" s="6">
        <f t="shared" si="14"/>
        <v>-173.33038461538013</v>
      </c>
      <c r="M32" s="2"/>
      <c r="N32" s="7">
        <f t="shared" si="15"/>
        <v>-0.12474924007319818</v>
      </c>
      <c r="O32" s="11"/>
      <c r="P32" s="6">
        <v>2432.1999999999998</v>
      </c>
      <c r="Q32" s="2"/>
      <c r="R32" s="7">
        <f t="shared" si="16"/>
        <v>4.1593366950733526E-2</v>
      </c>
      <c r="S32" s="2"/>
      <c r="T32" s="6">
        <v>3126.21836538461</v>
      </c>
      <c r="U32" s="2"/>
      <c r="V32" s="7">
        <f t="shared" si="17"/>
        <v>6.5953973953261816E-2</v>
      </c>
      <c r="W32" s="2"/>
      <c r="X32" s="6">
        <f t="shared" si="18"/>
        <v>-694.01836538461021</v>
      </c>
      <c r="Y32" s="2"/>
      <c r="Z32" s="7">
        <f t="shared" si="19"/>
        <v>-0.22199932450951074</v>
      </c>
    </row>
    <row r="33" spans="1:26" s="24" customFormat="1" hidden="1" outlineLevel="2" x14ac:dyDescent="0.3">
      <c r="A33" s="27"/>
      <c r="B33" s="11" t="str">
        <f>CONCATENATE("          ", "6119", " - ", "SICK LEAVE")</f>
        <v xml:space="preserve">          6119 - SICK LEAVE</v>
      </c>
      <c r="C33" s="11"/>
      <c r="D33" s="6">
        <v>738.5</v>
      </c>
      <c r="E33" s="2"/>
      <c r="F33" s="7">
        <f t="shared" si="12"/>
        <v>1.320073137593091E-2</v>
      </c>
      <c r="G33" s="2"/>
      <c r="H33" s="6">
        <v>700.76576923076902</v>
      </c>
      <c r="I33" s="2"/>
      <c r="J33" s="7">
        <f t="shared" si="13"/>
        <v>1.5677086559972461E-2</v>
      </c>
      <c r="K33" s="2"/>
      <c r="L33" s="6">
        <f t="shared" si="14"/>
        <v>37.734230769230976</v>
      </c>
      <c r="M33" s="2"/>
      <c r="N33" s="7">
        <f t="shared" si="15"/>
        <v>5.3847137554466823E-2</v>
      </c>
      <c r="O33" s="11"/>
      <c r="P33" s="6">
        <v>1477</v>
      </c>
      <c r="Q33" s="2"/>
      <c r="R33" s="7">
        <f t="shared" si="16"/>
        <v>2.5258368138406966E-2</v>
      </c>
      <c r="S33" s="2"/>
      <c r="T33" s="6">
        <v>1513.7229807692299</v>
      </c>
      <c r="U33" s="2"/>
      <c r="V33" s="7">
        <f t="shared" si="17"/>
        <v>3.1935083982473203E-2</v>
      </c>
      <c r="W33" s="2"/>
      <c r="X33" s="6">
        <f t="shared" si="18"/>
        <v>-36.722980769229935</v>
      </c>
      <c r="Y33" s="2"/>
      <c r="Z33" s="7">
        <f t="shared" si="19"/>
        <v>-2.4260040466960727E-2</v>
      </c>
    </row>
    <row r="34" spans="1:26" s="24" customFormat="1" hidden="1" outlineLevel="2" x14ac:dyDescent="0.3">
      <c r="A34" s="27"/>
      <c r="B34" s="11" t="str">
        <f>CONCATENATE("          ", "6156", " - ", "EMPLOYEE MEALS")</f>
        <v xml:space="preserve">          6156 - EMPLOYEE MEALS</v>
      </c>
      <c r="C34" s="11"/>
      <c r="D34" s="6">
        <v>496.27</v>
      </c>
      <c r="E34" s="2"/>
      <c r="F34" s="7">
        <f t="shared" si="12"/>
        <v>8.8708557345067475E-3</v>
      </c>
      <c r="G34" s="2"/>
      <c r="H34" s="6">
        <v>525</v>
      </c>
      <c r="I34" s="2"/>
      <c r="J34" s="7">
        <f t="shared" si="13"/>
        <v>1.1744966442953021E-2</v>
      </c>
      <c r="K34" s="2"/>
      <c r="L34" s="6">
        <f t="shared" si="14"/>
        <v>-28.730000000000018</v>
      </c>
      <c r="M34" s="2"/>
      <c r="N34" s="7">
        <f t="shared" si="15"/>
        <v>-5.4723809523809556E-2</v>
      </c>
      <c r="O34" s="11"/>
      <c r="P34" s="6">
        <v>918.51</v>
      </c>
      <c r="Q34" s="2"/>
      <c r="R34" s="7">
        <f t="shared" si="16"/>
        <v>1.5707558374277713E-2</v>
      </c>
      <c r="S34" s="2"/>
      <c r="T34" s="6">
        <v>1050</v>
      </c>
      <c r="U34" s="2"/>
      <c r="V34" s="7">
        <f t="shared" si="17"/>
        <v>2.2151898734177215E-2</v>
      </c>
      <c r="W34" s="2"/>
      <c r="X34" s="6">
        <f t="shared" si="18"/>
        <v>-131.49</v>
      </c>
      <c r="Y34" s="2"/>
      <c r="Z34" s="7">
        <f t="shared" si="19"/>
        <v>-0.12522857142857144</v>
      </c>
    </row>
    <row r="35" spans="1:26" s="28" customFormat="1" outlineLevel="1" collapsed="1" x14ac:dyDescent="0.3">
      <c r="A35" s="29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17940.689999999999</v>
      </c>
      <c r="E35" s="1"/>
      <c r="F35" s="5">
        <f t="shared" ref="F35:F45" si="20">IF(D$12=0,0,D35/D$12)</f>
        <v>0.32069089964637765</v>
      </c>
      <c r="G35" s="1"/>
      <c r="H35" s="1">
        <f>SUM(OSRRefH22_1x_0)</f>
        <v>16245.873076923099</v>
      </c>
      <c r="I35" s="1"/>
      <c r="J35" s="5">
        <f t="shared" ref="J35:J45" si="21">IF(H$12=0,0,H35/H$12)</f>
        <v>0.36344235071416331</v>
      </c>
      <c r="K35" s="1"/>
      <c r="L35" s="1">
        <f t="shared" ref="L35:L45" si="22">+D35-H35</f>
        <v>1694.8169230768999</v>
      </c>
      <c r="M35" s="1"/>
      <c r="N35" s="5">
        <f t="shared" ref="N35:N45" si="23">IF(H35=0,0,L35/H35)</f>
        <v>0.10432292035349885</v>
      </c>
      <c r="O35" s="14"/>
      <c r="P35" s="1">
        <f>SUM(OSRRefP22_1x_0)</f>
        <v>37382.240000000005</v>
      </c>
      <c r="Q35" s="1"/>
      <c r="R35" s="5">
        <f t="shared" ref="R35:R45" si="24">IF(P$12=0,0,P35/P$12)</f>
        <v>0.63927852387155215</v>
      </c>
      <c r="S35" s="1"/>
      <c r="T35" s="1">
        <f>SUM(OSRRefT22_1x_0)</f>
        <v>34390.214423076999</v>
      </c>
      <c r="U35" s="1"/>
      <c r="V35" s="5">
        <f t="shared" ref="V35:V45" si="25">IF(T$12=0,0,T35/T$12)</f>
        <v>0.72553194985394509</v>
      </c>
      <c r="W35" s="1"/>
      <c r="X35" s="1">
        <f t="shared" ref="X35:X45" si="26">+P35-T35</f>
        <v>2992.0255769230062</v>
      </c>
      <c r="Y35" s="1"/>
      <c r="Z35" s="5">
        <f t="shared" ref="Z35:Z45" si="27">IF(T35=0,0,X35/T35)</f>
        <v>8.7002236744277331E-2</v>
      </c>
    </row>
    <row r="36" spans="1:26" s="24" customFormat="1" hidden="1" outlineLevel="2" x14ac:dyDescent="0.3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3">
      <c r="A37" s="27"/>
      <c r="B37" s="11" t="str">
        <f>CONCATENATE("          ", "6002", " - ", "STAFF SALARIES")</f>
        <v xml:space="preserve">          6002 - STAFF SALARIES</v>
      </c>
      <c r="C37" s="11"/>
      <c r="D37" s="6">
        <v>15332.57</v>
      </c>
      <c r="E37" s="2"/>
      <c r="F37" s="7">
        <f t="shared" si="20"/>
        <v>0.27407059969215569</v>
      </c>
      <c r="G37" s="2"/>
      <c r="H37" s="6">
        <v>14515.473076923099</v>
      </c>
      <c r="I37" s="2"/>
      <c r="J37" s="7">
        <f t="shared" si="21"/>
        <v>0.32473094131819014</v>
      </c>
      <c r="K37" s="2"/>
      <c r="L37" s="6">
        <f t="shared" si="22"/>
        <v>817.09692307690057</v>
      </c>
      <c r="M37" s="2"/>
      <c r="N37" s="7">
        <f t="shared" si="23"/>
        <v>5.6291442844941281E-2</v>
      </c>
      <c r="O37" s="11"/>
      <c r="P37" s="6">
        <v>34266.620000000003</v>
      </c>
      <c r="Q37" s="2"/>
      <c r="R37" s="7">
        <f t="shared" si="24"/>
        <v>0.58599790305951183</v>
      </c>
      <c r="S37" s="2"/>
      <c r="T37" s="6">
        <v>32659.814423077001</v>
      </c>
      <c r="U37" s="2"/>
      <c r="V37" s="7">
        <f t="shared" si="25"/>
        <v>0.68902562074002116</v>
      </c>
      <c r="W37" s="2"/>
      <c r="X37" s="6">
        <f t="shared" si="26"/>
        <v>1606.8055769230014</v>
      </c>
      <c r="Y37" s="2"/>
      <c r="Z37" s="7">
        <f t="shared" si="27"/>
        <v>4.919824577409887E-2</v>
      </c>
    </row>
    <row r="38" spans="1:26" s="24" customFormat="1" hidden="1" outlineLevel="2" x14ac:dyDescent="0.3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3">
      <c r="A42" s="27"/>
      <c r="B42" s="11" t="str">
        <f>CONCATENATE("          ", "6007", " - ", "STUDENT HOURLY")</f>
        <v xml:space="preserve">          6007 - STUDENT HOURLY</v>
      </c>
      <c r="C42" s="11"/>
      <c r="D42" s="6">
        <v>2608.12</v>
      </c>
      <c r="E42" s="2"/>
      <c r="F42" s="7">
        <f t="shared" si="20"/>
        <v>4.6620299954221969E-2</v>
      </c>
      <c r="G42" s="2"/>
      <c r="H42" s="6">
        <v>1730.4</v>
      </c>
      <c r="I42" s="2"/>
      <c r="J42" s="7">
        <f t="shared" si="21"/>
        <v>3.8711409395973159E-2</v>
      </c>
      <c r="K42" s="2"/>
      <c r="L42" s="6">
        <f t="shared" si="22"/>
        <v>877.7199999999998</v>
      </c>
      <c r="M42" s="2"/>
      <c r="N42" s="7">
        <f t="shared" si="23"/>
        <v>0.50723532131299109</v>
      </c>
      <c r="O42" s="11"/>
      <c r="P42" s="6">
        <v>3115.62</v>
      </c>
      <c r="Q42" s="2"/>
      <c r="R42" s="7">
        <f t="shared" si="24"/>
        <v>5.328062081204029E-2</v>
      </c>
      <c r="S42" s="2"/>
      <c r="T42" s="6">
        <v>1730.4</v>
      </c>
      <c r="U42" s="2"/>
      <c r="V42" s="7">
        <f t="shared" si="25"/>
        <v>3.6506329113924055E-2</v>
      </c>
      <c r="W42" s="2"/>
      <c r="X42" s="6">
        <f t="shared" si="26"/>
        <v>1385.2199999999998</v>
      </c>
      <c r="Y42" s="2"/>
      <c r="Z42" s="7">
        <f t="shared" si="27"/>
        <v>0.80052011095700404</v>
      </c>
    </row>
    <row r="43" spans="1:26" s="24" customFormat="1" hidden="1" outlineLevel="2" x14ac:dyDescent="0.3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8" customFormat="1" outlineLevel="1" collapsed="1" x14ac:dyDescent="0.3">
      <c r="A46" s="29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54" si="28">IF(D$12=0,0,D46/D$12)</f>
        <v>0</v>
      </c>
      <c r="G46" s="1"/>
      <c r="H46" s="1">
        <f>SUM(OSRRefH22_2x_0)</f>
        <v>50</v>
      </c>
      <c r="I46" s="1"/>
      <c r="J46" s="5">
        <f t="shared" ref="J46:J54" si="29">IF(H$12=0,0,H46/H$12)</f>
        <v>1.1185682326621924E-3</v>
      </c>
      <c r="K46" s="1"/>
      <c r="L46" s="1">
        <f t="shared" ref="L46:L54" si="30">+D46-H46</f>
        <v>-50</v>
      </c>
      <c r="M46" s="1"/>
      <c r="N46" s="5">
        <f t="shared" ref="N46:N54" si="31">IF(H46=0,0,L46/H46)</f>
        <v>-1</v>
      </c>
      <c r="O46" s="14"/>
      <c r="P46" s="1">
        <f>SUM(OSRRefP22_2x_0)</f>
        <v>0</v>
      </c>
      <c r="Q46" s="1"/>
      <c r="R46" s="5">
        <f t="shared" ref="R46:R54" si="32">IF(P$12=0,0,P46/P$12)</f>
        <v>0</v>
      </c>
      <c r="S46" s="1"/>
      <c r="T46" s="1">
        <f>SUM(OSRRefT22_2x_0)</f>
        <v>100</v>
      </c>
      <c r="U46" s="1"/>
      <c r="V46" s="5">
        <f t="shared" ref="V46:V54" si="33">IF(T$12=0,0,T46/T$12)</f>
        <v>2.1097046413502108E-3</v>
      </c>
      <c r="W46" s="1"/>
      <c r="X46" s="1">
        <f t="shared" ref="X46:X54" si="34">+P46-T46</f>
        <v>-100</v>
      </c>
      <c r="Y46" s="1"/>
      <c r="Z46" s="5">
        <f t="shared" ref="Z46:Z54" si="35">IF(T46=0,0,X46/T46)</f>
        <v>-1</v>
      </c>
    </row>
    <row r="47" spans="1:26" s="24" customFormat="1" hidden="1" outlineLevel="2" x14ac:dyDescent="0.3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8"/>
        <v>0</v>
      </c>
      <c r="G47" s="2"/>
      <c r="H47" s="6">
        <v>50</v>
      </c>
      <c r="I47" s="2"/>
      <c r="J47" s="7">
        <f t="shared" si="29"/>
        <v>1.1185682326621924E-3</v>
      </c>
      <c r="K47" s="2"/>
      <c r="L47" s="6">
        <f t="shared" si="30"/>
        <v>-50</v>
      </c>
      <c r="M47" s="2"/>
      <c r="N47" s="7">
        <f t="shared" si="31"/>
        <v>-1</v>
      </c>
      <c r="O47" s="11"/>
      <c r="P47" s="6"/>
      <c r="Q47" s="2"/>
      <c r="R47" s="7">
        <f t="shared" si="32"/>
        <v>0</v>
      </c>
      <c r="S47" s="2"/>
      <c r="T47" s="6">
        <v>100</v>
      </c>
      <c r="U47" s="2"/>
      <c r="V47" s="7">
        <f t="shared" si="33"/>
        <v>2.1097046413502108E-3</v>
      </c>
      <c r="W47" s="2"/>
      <c r="X47" s="6">
        <f t="shared" si="34"/>
        <v>-100</v>
      </c>
      <c r="Y47" s="2"/>
      <c r="Z47" s="7">
        <f t="shared" si="35"/>
        <v>-1</v>
      </c>
    </row>
    <row r="48" spans="1:26" s="28" customFormat="1" outlineLevel="1" collapsed="1" x14ac:dyDescent="0.3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SUM(OSRRefD22_3x_0)</f>
        <v>169.88</v>
      </c>
      <c r="E48" s="1"/>
      <c r="F48" s="5">
        <f t="shared" si="28"/>
        <v>3.036615092949415E-3</v>
      </c>
      <c r="G48" s="1"/>
      <c r="H48" s="1">
        <f>SUM(OSRRefH22_3x_0)</f>
        <v>170</v>
      </c>
      <c r="I48" s="1"/>
      <c r="J48" s="5">
        <f t="shared" si="29"/>
        <v>3.803131991051454E-3</v>
      </c>
      <c r="K48" s="1"/>
      <c r="L48" s="1">
        <f t="shared" si="30"/>
        <v>-0.12000000000000455</v>
      </c>
      <c r="M48" s="1"/>
      <c r="N48" s="5">
        <f t="shared" si="31"/>
        <v>-7.0588235294120319E-4</v>
      </c>
      <c r="O48" s="14"/>
      <c r="P48" s="1">
        <f>SUM(OSRRefP22_3x_0)</f>
        <v>339.76</v>
      </c>
      <c r="Q48" s="1"/>
      <c r="R48" s="5">
        <f t="shared" si="32"/>
        <v>5.8102797283040965E-3</v>
      </c>
      <c r="S48" s="1"/>
      <c r="T48" s="1">
        <f>SUM(OSRRefT22_3x_0)</f>
        <v>340</v>
      </c>
      <c r="U48" s="1"/>
      <c r="V48" s="5">
        <f t="shared" si="33"/>
        <v>7.1729957805907177E-3</v>
      </c>
      <c r="W48" s="1"/>
      <c r="X48" s="1">
        <f t="shared" si="34"/>
        <v>-0.24000000000000909</v>
      </c>
      <c r="Y48" s="1"/>
      <c r="Z48" s="5">
        <f t="shared" si="35"/>
        <v>-7.0588235294120319E-4</v>
      </c>
    </row>
    <row r="49" spans="1:26" s="24" customFormat="1" hidden="1" outlineLevel="2" x14ac:dyDescent="0.3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169.88</v>
      </c>
      <c r="E49" s="2"/>
      <c r="F49" s="7">
        <f t="shared" si="28"/>
        <v>3.036615092949415E-3</v>
      </c>
      <c r="G49" s="2"/>
      <c r="H49" s="6">
        <v>170</v>
      </c>
      <c r="I49" s="2"/>
      <c r="J49" s="7">
        <f t="shared" si="29"/>
        <v>3.803131991051454E-3</v>
      </c>
      <c r="K49" s="2"/>
      <c r="L49" s="6">
        <f t="shared" si="30"/>
        <v>-0.12000000000000455</v>
      </c>
      <c r="M49" s="2"/>
      <c r="N49" s="7">
        <f t="shared" si="31"/>
        <v>-7.0588235294120319E-4</v>
      </c>
      <c r="O49" s="11"/>
      <c r="P49" s="6">
        <v>339.76</v>
      </c>
      <c r="Q49" s="2"/>
      <c r="R49" s="7">
        <f t="shared" si="32"/>
        <v>5.8102797283040965E-3</v>
      </c>
      <c r="S49" s="2"/>
      <c r="T49" s="6">
        <v>340</v>
      </c>
      <c r="U49" s="2"/>
      <c r="V49" s="7">
        <f t="shared" si="33"/>
        <v>7.1729957805907177E-3</v>
      </c>
      <c r="W49" s="2"/>
      <c r="X49" s="6">
        <f t="shared" si="34"/>
        <v>-0.24000000000000909</v>
      </c>
      <c r="Y49" s="2"/>
      <c r="Z49" s="7">
        <f t="shared" si="35"/>
        <v>-7.0588235294120319E-4</v>
      </c>
    </row>
    <row r="50" spans="1:26" s="28" customFormat="1" outlineLevel="1" collapsed="1" x14ac:dyDescent="0.3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SUM(OSRRefD22_4x_0)</f>
        <v>1205.6400000000001</v>
      </c>
      <c r="E50" s="1"/>
      <c r="F50" s="5">
        <f t="shared" si="28"/>
        <v>2.1550886629759437E-2</v>
      </c>
      <c r="G50" s="1"/>
      <c r="H50" s="1">
        <f>SUM(OSRRefH22_4x_0)</f>
        <v>1200</v>
      </c>
      <c r="I50" s="1"/>
      <c r="J50" s="5">
        <f t="shared" si="29"/>
        <v>2.6845637583892617E-2</v>
      </c>
      <c r="K50" s="1"/>
      <c r="L50" s="1">
        <f t="shared" si="30"/>
        <v>5.6400000000001</v>
      </c>
      <c r="M50" s="1"/>
      <c r="N50" s="5">
        <f t="shared" si="31"/>
        <v>4.7000000000000835E-3</v>
      </c>
      <c r="O50" s="14"/>
      <c r="P50" s="1">
        <f>SUM(OSRRefP22_4x_0)</f>
        <v>2411.2800000000002</v>
      </c>
      <c r="Q50" s="1"/>
      <c r="R50" s="5">
        <f t="shared" si="32"/>
        <v>4.1235611323478638E-2</v>
      </c>
      <c r="S50" s="1"/>
      <c r="T50" s="1">
        <f>SUM(OSRRefT22_4x_0)</f>
        <v>2400</v>
      </c>
      <c r="U50" s="1"/>
      <c r="V50" s="5">
        <f t="shared" si="33"/>
        <v>5.0632911392405063E-2</v>
      </c>
      <c r="W50" s="1"/>
      <c r="X50" s="1">
        <f t="shared" si="34"/>
        <v>11.2800000000002</v>
      </c>
      <c r="Y50" s="1"/>
      <c r="Z50" s="5">
        <f t="shared" si="35"/>
        <v>4.7000000000000835E-3</v>
      </c>
    </row>
    <row r="51" spans="1:26" s="24" customFormat="1" hidden="1" outlineLevel="2" x14ac:dyDescent="0.3">
      <c r="A51" s="27"/>
      <c r="B51" s="11" t="str">
        <f>CONCATENATE("          ", "6351", " - ", "EQUIPMENT RENTAL")</f>
        <v xml:space="preserve">          6351 - EQUIPMENT RENTAL</v>
      </c>
      <c r="C51" s="11"/>
      <c r="D51" s="6">
        <v>1205.6400000000001</v>
      </c>
      <c r="E51" s="2"/>
      <c r="F51" s="7">
        <f t="shared" si="28"/>
        <v>2.1550886629759437E-2</v>
      </c>
      <c r="G51" s="2"/>
      <c r="H51" s="6">
        <v>1200</v>
      </c>
      <c r="I51" s="2"/>
      <c r="J51" s="7">
        <f t="shared" si="29"/>
        <v>2.6845637583892617E-2</v>
      </c>
      <c r="K51" s="2"/>
      <c r="L51" s="6">
        <f t="shared" si="30"/>
        <v>5.6400000000001</v>
      </c>
      <c r="M51" s="2"/>
      <c r="N51" s="7">
        <f t="shared" si="31"/>
        <v>4.7000000000000835E-3</v>
      </c>
      <c r="O51" s="11"/>
      <c r="P51" s="6">
        <v>2411.2800000000002</v>
      </c>
      <c r="Q51" s="2"/>
      <c r="R51" s="7">
        <f t="shared" si="32"/>
        <v>4.1235611323478638E-2</v>
      </c>
      <c r="S51" s="2"/>
      <c r="T51" s="6">
        <v>2400</v>
      </c>
      <c r="U51" s="2"/>
      <c r="V51" s="7">
        <f t="shared" si="33"/>
        <v>5.0632911392405063E-2</v>
      </c>
      <c r="W51" s="2"/>
      <c r="X51" s="6">
        <f t="shared" si="34"/>
        <v>11.2800000000002</v>
      </c>
      <c r="Y51" s="2"/>
      <c r="Z51" s="7">
        <f t="shared" si="35"/>
        <v>4.7000000000000835E-3</v>
      </c>
    </row>
    <row r="52" spans="1:26" s="28" customFormat="1" outlineLevel="1" collapsed="1" x14ac:dyDescent="0.3">
      <c r="A52" s="29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SUM(OSRRefD22_5x_0)</f>
        <v>-20187.95</v>
      </c>
      <c r="E52" s="1"/>
      <c r="F52" s="5">
        <f t="shared" si="28"/>
        <v>-0.36086080566110279</v>
      </c>
      <c r="G52" s="1"/>
      <c r="H52" s="1">
        <f>SUM(OSRRefH22_5x_0)</f>
        <v>-43200</v>
      </c>
      <c r="I52" s="1"/>
      <c r="J52" s="5">
        <f t="shared" si="29"/>
        <v>-0.96644295302013428</v>
      </c>
      <c r="K52" s="1"/>
      <c r="L52" s="1">
        <f t="shared" si="30"/>
        <v>23012.05</v>
      </c>
      <c r="M52" s="1"/>
      <c r="N52" s="5">
        <f t="shared" si="31"/>
        <v>-0.53268634259259262</v>
      </c>
      <c r="O52" s="14"/>
      <c r="P52" s="1">
        <f>SUM(OSRRefP22_5x_0)</f>
        <v>-17904.090000000004</v>
      </c>
      <c r="Q52" s="1"/>
      <c r="R52" s="5">
        <f t="shared" si="32"/>
        <v>-0.30618016005631066</v>
      </c>
      <c r="S52" s="1"/>
      <c r="T52" s="1">
        <f>SUM(OSRRefT22_5x_0)</f>
        <v>-38200</v>
      </c>
      <c r="U52" s="1"/>
      <c r="V52" s="5">
        <f t="shared" si="33"/>
        <v>-0.80590717299578063</v>
      </c>
      <c r="W52" s="1"/>
      <c r="X52" s="1">
        <f t="shared" si="34"/>
        <v>20295.909999999996</v>
      </c>
      <c r="Y52" s="1"/>
      <c r="Z52" s="5">
        <f t="shared" si="35"/>
        <v>-0.53130654450261772</v>
      </c>
    </row>
    <row r="53" spans="1:26" s="24" customFormat="1" hidden="1" outlineLevel="2" x14ac:dyDescent="0.3">
      <c r="A53" s="27"/>
      <c r="B53" s="11" t="str">
        <f>CONCATENATE("          ", "6305", " - ", "FREIGHT OUT")</f>
        <v xml:space="preserve">          6305 - FREIGHT OUT</v>
      </c>
      <c r="C53" s="11"/>
      <c r="D53" s="6">
        <v>4220.1899999999996</v>
      </c>
      <c r="E53" s="2"/>
      <c r="F53" s="7">
        <f t="shared" si="28"/>
        <v>7.5436146980893515E-2</v>
      </c>
      <c r="G53" s="2"/>
      <c r="H53" s="6">
        <v>6800</v>
      </c>
      <c r="I53" s="2"/>
      <c r="J53" s="7">
        <f t="shared" si="29"/>
        <v>0.15212527964205816</v>
      </c>
      <c r="K53" s="2"/>
      <c r="L53" s="6">
        <f t="shared" si="30"/>
        <v>-2579.8100000000004</v>
      </c>
      <c r="M53" s="2"/>
      <c r="N53" s="7">
        <f t="shared" si="31"/>
        <v>-0.3793838235294118</v>
      </c>
      <c r="O53" s="11"/>
      <c r="P53" s="6">
        <v>14131.31</v>
      </c>
      <c r="Q53" s="2"/>
      <c r="R53" s="7">
        <f t="shared" si="32"/>
        <v>0.24166136104126726</v>
      </c>
      <c r="S53" s="2"/>
      <c r="T53" s="6">
        <v>15800</v>
      </c>
      <c r="U53" s="2"/>
      <c r="V53" s="7">
        <f t="shared" si="33"/>
        <v>0.33333333333333331</v>
      </c>
      <c r="W53" s="2"/>
      <c r="X53" s="6">
        <f t="shared" si="34"/>
        <v>-1668.6900000000005</v>
      </c>
      <c r="Y53" s="2"/>
      <c r="Z53" s="7">
        <f t="shared" si="35"/>
        <v>-0.10561329113924053</v>
      </c>
    </row>
    <row r="54" spans="1:26" s="24" customFormat="1" hidden="1" outlineLevel="2" x14ac:dyDescent="0.3">
      <c r="A54" s="27"/>
      <c r="B54" s="11" t="str">
        <f>CONCATENATE("          ", "6307", " - ", "POSTAGE")</f>
        <v xml:space="preserve">          6307 - POSTAGE</v>
      </c>
      <c r="C54" s="11"/>
      <c r="D54" s="6">
        <v>-24408.14</v>
      </c>
      <c r="E54" s="2"/>
      <c r="F54" s="7">
        <f t="shared" si="28"/>
        <v>-0.43629695264199631</v>
      </c>
      <c r="G54" s="2"/>
      <c r="H54" s="6">
        <v>-50000</v>
      </c>
      <c r="I54" s="2"/>
      <c r="J54" s="7">
        <f t="shared" si="29"/>
        <v>-1.1185682326621924</v>
      </c>
      <c r="K54" s="2"/>
      <c r="L54" s="6">
        <f t="shared" si="30"/>
        <v>25591.86</v>
      </c>
      <c r="M54" s="2"/>
      <c r="N54" s="7">
        <f t="shared" si="31"/>
        <v>-0.51183719999999999</v>
      </c>
      <c r="O54" s="11"/>
      <c r="P54" s="6">
        <v>-32035.4</v>
      </c>
      <c r="Q54" s="2"/>
      <c r="R54" s="7">
        <f t="shared" si="32"/>
        <v>-0.54784152109757789</v>
      </c>
      <c r="S54" s="2"/>
      <c r="T54" s="6">
        <v>-54000</v>
      </c>
      <c r="U54" s="2"/>
      <c r="V54" s="7">
        <f t="shared" si="33"/>
        <v>-1.139240506329114</v>
      </c>
      <c r="W54" s="2"/>
      <c r="X54" s="6">
        <f t="shared" si="34"/>
        <v>21964.6</v>
      </c>
      <c r="Y54" s="2"/>
      <c r="Z54" s="7">
        <f t="shared" si="35"/>
        <v>-0.40675185185185181</v>
      </c>
    </row>
    <row r="55" spans="1:26" s="28" customFormat="1" outlineLevel="1" collapsed="1" x14ac:dyDescent="0.3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SUM(OSRRefD22_6x_0)</f>
        <v>1731.54</v>
      </c>
      <c r="E55" s="1"/>
      <c r="F55" s="5">
        <f t="shared" ref="F55:F57" si="36">IF(D$12=0,0,D55/D$12)</f>
        <v>3.095138037465052E-2</v>
      </c>
      <c r="G55" s="1"/>
      <c r="H55" s="1">
        <f>SUM(OSRRefH22_6x_0)</f>
        <v>4000</v>
      </c>
      <c r="I55" s="1"/>
      <c r="J55" s="5">
        <f t="shared" ref="J55:J57" si="37">IF(H$12=0,0,H55/H$12)</f>
        <v>8.9485458612975396E-2</v>
      </c>
      <c r="K55" s="1"/>
      <c r="L55" s="1">
        <f t="shared" ref="L55:L57" si="38">+D55-H55</f>
        <v>-2268.46</v>
      </c>
      <c r="M55" s="1"/>
      <c r="N55" s="5">
        <f t="shared" ref="N55:N57" si="39">IF(H55=0,0,L55/H55)</f>
        <v>-0.56711500000000004</v>
      </c>
      <c r="O55" s="14"/>
      <c r="P55" s="1">
        <f>SUM(OSRRefP22_6x_0)</f>
        <v>4077.52</v>
      </c>
      <c r="Q55" s="1"/>
      <c r="R55" s="5">
        <f t="shared" ref="R55:R57" si="40">IF(P$12=0,0,P55/P$12)</f>
        <v>6.9730197191413115E-2</v>
      </c>
      <c r="S55" s="1"/>
      <c r="T55" s="1">
        <f>SUM(OSRRefT22_6x_0)</f>
        <v>10000</v>
      </c>
      <c r="U55" s="1"/>
      <c r="V55" s="5">
        <f t="shared" ref="V55:V57" si="41">IF(T$12=0,0,T55/T$12)</f>
        <v>0.2109704641350211</v>
      </c>
      <c r="W55" s="1"/>
      <c r="X55" s="1">
        <f t="shared" ref="X55:X57" si="42">+P55-T55</f>
        <v>-5922.48</v>
      </c>
      <c r="Y55" s="1"/>
      <c r="Z55" s="5">
        <f t="shared" ref="Z55:Z57" si="43">IF(T55=0,0,X55/T55)</f>
        <v>-0.592248</v>
      </c>
    </row>
    <row r="56" spans="1:26" s="24" customFormat="1" hidden="1" outlineLevel="2" x14ac:dyDescent="0.3">
      <c r="A56" s="27"/>
      <c r="B56" s="11" t="str">
        <f>CONCATENATE("          ", "6373", " - ", "MAINTENANCE CONTRACTS")</f>
        <v xml:space="preserve">          6373 - MAINTENANCE CONTRACTS</v>
      </c>
      <c r="C56" s="11"/>
      <c r="D56" s="6">
        <v>55.74</v>
      </c>
      <c r="E56" s="2"/>
      <c r="F56" s="7">
        <f t="shared" si="36"/>
        <v>9.9635581163762883E-4</v>
      </c>
      <c r="G56" s="2"/>
      <c r="H56" s="6">
        <v>4000</v>
      </c>
      <c r="I56" s="2"/>
      <c r="J56" s="7">
        <f t="shared" si="37"/>
        <v>8.9485458612975396E-2</v>
      </c>
      <c r="K56" s="2"/>
      <c r="L56" s="6">
        <f t="shared" si="38"/>
        <v>-3944.26</v>
      </c>
      <c r="M56" s="2"/>
      <c r="N56" s="7">
        <f t="shared" si="39"/>
        <v>-0.98606500000000008</v>
      </c>
      <c r="O56" s="11"/>
      <c r="P56" s="6">
        <v>681.08</v>
      </c>
      <c r="Q56" s="2"/>
      <c r="R56" s="7">
        <f t="shared" si="40"/>
        <v>1.1647237218487622E-2</v>
      </c>
      <c r="S56" s="2"/>
      <c r="T56" s="6">
        <v>10000</v>
      </c>
      <c r="U56" s="2"/>
      <c r="V56" s="7">
        <f t="shared" si="41"/>
        <v>0.2109704641350211</v>
      </c>
      <c r="W56" s="2"/>
      <c r="X56" s="6">
        <f t="shared" si="42"/>
        <v>-9318.92</v>
      </c>
      <c r="Y56" s="2"/>
      <c r="Z56" s="7">
        <f t="shared" si="43"/>
        <v>-0.93189200000000005</v>
      </c>
    </row>
    <row r="57" spans="1:26" s="24" customFormat="1" hidden="1" outlineLevel="2" x14ac:dyDescent="0.3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6">
        <v>1675.8</v>
      </c>
      <c r="E57" s="2"/>
      <c r="F57" s="7">
        <f t="shared" si="36"/>
        <v>2.995502456301289E-2</v>
      </c>
      <c r="G57" s="2"/>
      <c r="H57" s="6"/>
      <c r="I57" s="2"/>
      <c r="J57" s="7">
        <f t="shared" si="37"/>
        <v>0</v>
      </c>
      <c r="K57" s="2"/>
      <c r="L57" s="6">
        <f t="shared" si="38"/>
        <v>1675.8</v>
      </c>
      <c r="M57" s="2"/>
      <c r="N57" s="7">
        <f t="shared" si="39"/>
        <v>0</v>
      </c>
      <c r="O57" s="11"/>
      <c r="P57" s="6">
        <v>3396.44</v>
      </c>
      <c r="Q57" s="2"/>
      <c r="R57" s="7">
        <f t="shared" si="40"/>
        <v>5.8082959972925494E-2</v>
      </c>
      <c r="S57" s="2"/>
      <c r="T57" s="6"/>
      <c r="U57" s="2"/>
      <c r="V57" s="7">
        <f t="shared" si="41"/>
        <v>0</v>
      </c>
      <c r="W57" s="2"/>
      <c r="X57" s="6">
        <f t="shared" si="42"/>
        <v>3396.44</v>
      </c>
      <c r="Y57" s="2"/>
      <c r="Z57" s="7">
        <f t="shared" si="43"/>
        <v>0</v>
      </c>
    </row>
    <row r="58" spans="1:26" s="28" customFormat="1" outlineLevel="1" collapsed="1" x14ac:dyDescent="0.3">
      <c r="A58" s="29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1">
        <f>SUM(OSRRefD22_7x_0)</f>
        <v>601.89</v>
      </c>
      <c r="E58" s="1"/>
      <c r="F58" s="5">
        <f t="shared" ref="F58:F64" si="44">IF(D$12=0,0,D58/D$12)</f>
        <v>1.0758819509626344E-2</v>
      </c>
      <c r="G58" s="1"/>
      <c r="H58" s="1">
        <f>SUM(OSRRefH22_7x_0)</f>
        <v>3000</v>
      </c>
      <c r="I58" s="1"/>
      <c r="J58" s="5">
        <f t="shared" ref="J58:J64" si="45">IF(H$12=0,0,H58/H$12)</f>
        <v>6.7114093959731544E-2</v>
      </c>
      <c r="K58" s="1"/>
      <c r="L58" s="1">
        <f t="shared" ref="L58:L64" si="46">+D58-H58</f>
        <v>-2398.11</v>
      </c>
      <c r="M58" s="1"/>
      <c r="N58" s="5">
        <f t="shared" ref="N58:N64" si="47">IF(H58=0,0,L58/H58)</f>
        <v>-0.79937000000000002</v>
      </c>
      <c r="O58" s="14"/>
      <c r="P58" s="1">
        <f>SUM(OSRRefP22_7x_0)</f>
        <v>607.95000000000005</v>
      </c>
      <c r="Q58" s="1"/>
      <c r="R58" s="5">
        <f t="shared" ref="R58:R64" si="48">IF(P$12=0,0,P58/P$12)</f>
        <v>1.0396631624742393E-2</v>
      </c>
      <c r="S58" s="1"/>
      <c r="T58" s="1">
        <f>SUM(OSRRefT22_7x_0)</f>
        <v>9000</v>
      </c>
      <c r="U58" s="1"/>
      <c r="V58" s="5">
        <f t="shared" ref="V58:V64" si="49">IF(T$12=0,0,T58/T$12)</f>
        <v>0.189873417721519</v>
      </c>
      <c r="W58" s="1"/>
      <c r="X58" s="1">
        <f t="shared" ref="X58:X64" si="50">+P58-T58</f>
        <v>-8392.0499999999993</v>
      </c>
      <c r="Y58" s="1"/>
      <c r="Z58" s="5">
        <f t="shared" ref="Z58:Z64" si="51">IF(T58=0,0,X58/T58)</f>
        <v>-0.93244999999999989</v>
      </c>
    </row>
    <row r="59" spans="1:26" s="24" customFormat="1" hidden="1" outlineLevel="2" x14ac:dyDescent="0.3">
      <c r="A59" s="27"/>
      <c r="B59" s="11" t="str">
        <f>CONCATENATE("          ", "6259", " - ", "ROYALTY &amp; COMMISSIONS")</f>
        <v xml:space="preserve">          6259 - ROYALTY &amp; COMMISSIONS</v>
      </c>
      <c r="C59" s="11"/>
      <c r="D59" s="6">
        <v>601.89</v>
      </c>
      <c r="E59" s="2"/>
      <c r="F59" s="7">
        <f t="shared" si="44"/>
        <v>1.0758819509626344E-2</v>
      </c>
      <c r="G59" s="2"/>
      <c r="H59" s="6">
        <v>3000</v>
      </c>
      <c r="I59" s="2"/>
      <c r="J59" s="7">
        <f t="shared" si="45"/>
        <v>6.7114093959731544E-2</v>
      </c>
      <c r="K59" s="2"/>
      <c r="L59" s="6">
        <f t="shared" si="46"/>
        <v>-2398.11</v>
      </c>
      <c r="M59" s="2"/>
      <c r="N59" s="7">
        <f t="shared" si="47"/>
        <v>-0.79937000000000002</v>
      </c>
      <c r="O59" s="11"/>
      <c r="P59" s="6">
        <v>607.95000000000005</v>
      </c>
      <c r="Q59" s="2"/>
      <c r="R59" s="7">
        <f t="shared" si="48"/>
        <v>1.0396631624742393E-2</v>
      </c>
      <c r="S59" s="2"/>
      <c r="T59" s="6">
        <v>9000</v>
      </c>
      <c r="U59" s="2"/>
      <c r="V59" s="7">
        <f t="shared" si="49"/>
        <v>0.189873417721519</v>
      </c>
      <c r="W59" s="2"/>
      <c r="X59" s="6">
        <f t="shared" si="50"/>
        <v>-8392.0499999999993</v>
      </c>
      <c r="Y59" s="2"/>
      <c r="Z59" s="7">
        <f t="shared" si="51"/>
        <v>-0.93244999999999989</v>
      </c>
    </row>
    <row r="60" spans="1:26" s="28" customFormat="1" outlineLevel="1" collapsed="1" x14ac:dyDescent="0.3">
      <c r="A60" s="29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SUM(OSRRefD22_8x_0)</f>
        <v>7042.86</v>
      </c>
      <c r="E60" s="1"/>
      <c r="F60" s="5">
        <f t="shared" si="44"/>
        <v>0.12589154093200916</v>
      </c>
      <c r="G60" s="1"/>
      <c r="H60" s="1">
        <f>SUM(OSRRefH22_8x_0)</f>
        <v>930</v>
      </c>
      <c r="I60" s="1"/>
      <c r="J60" s="5">
        <f t="shared" si="45"/>
        <v>2.0805369127516779E-2</v>
      </c>
      <c r="K60" s="1"/>
      <c r="L60" s="1">
        <f t="shared" si="46"/>
        <v>6112.86</v>
      </c>
      <c r="M60" s="1"/>
      <c r="N60" s="5">
        <f t="shared" si="47"/>
        <v>6.5729677419354839</v>
      </c>
      <c r="O60" s="14"/>
      <c r="P60" s="1">
        <f>SUM(OSRRefP22_8x_0)</f>
        <v>10159.65</v>
      </c>
      <c r="Q60" s="1"/>
      <c r="R60" s="5">
        <f t="shared" si="48"/>
        <v>0.17374148940918505</v>
      </c>
      <c r="S60" s="1"/>
      <c r="T60" s="1">
        <f>SUM(OSRRefT22_8x_0)</f>
        <v>5360</v>
      </c>
      <c r="U60" s="1"/>
      <c r="V60" s="5">
        <f t="shared" si="49"/>
        <v>0.11308016877637131</v>
      </c>
      <c r="W60" s="1"/>
      <c r="X60" s="1">
        <f t="shared" si="50"/>
        <v>4799.6499999999996</v>
      </c>
      <c r="Y60" s="1"/>
      <c r="Z60" s="5">
        <f t="shared" si="51"/>
        <v>0.89545708955223868</v>
      </c>
    </row>
    <row r="61" spans="1:26" s="24" customFormat="1" hidden="1" outlineLevel="2" x14ac:dyDescent="0.3">
      <c r="A61" s="27"/>
      <c r="B61" s="11" t="str">
        <f>CONCATENATE("          ", "6241", " - ", "OFFICE EXPENSE")</f>
        <v xml:space="preserve">          6241 - OFFICE EXPENSE</v>
      </c>
      <c r="C61" s="11"/>
      <c r="D61" s="6">
        <v>4675.71</v>
      </c>
      <c r="E61" s="2"/>
      <c r="F61" s="7">
        <f t="shared" si="44"/>
        <v>8.3578594044351945E-2</v>
      </c>
      <c r="G61" s="2"/>
      <c r="H61" s="6"/>
      <c r="I61" s="2"/>
      <c r="J61" s="7">
        <f t="shared" si="45"/>
        <v>0</v>
      </c>
      <c r="K61" s="2"/>
      <c r="L61" s="6">
        <f t="shared" si="46"/>
        <v>4675.71</v>
      </c>
      <c r="M61" s="2"/>
      <c r="N61" s="7">
        <f t="shared" si="47"/>
        <v>0</v>
      </c>
      <c r="O61" s="11"/>
      <c r="P61" s="6">
        <v>4829.5600000000004</v>
      </c>
      <c r="Q61" s="2"/>
      <c r="R61" s="7">
        <f t="shared" si="48"/>
        <v>8.2590930552826514E-2</v>
      </c>
      <c r="S61" s="2"/>
      <c r="T61" s="6"/>
      <c r="U61" s="2"/>
      <c r="V61" s="7">
        <f t="shared" si="49"/>
        <v>0</v>
      </c>
      <c r="W61" s="2"/>
      <c r="X61" s="6">
        <f t="shared" si="50"/>
        <v>4829.5600000000004</v>
      </c>
      <c r="Y61" s="2"/>
      <c r="Z61" s="7">
        <f t="shared" si="51"/>
        <v>0</v>
      </c>
    </row>
    <row r="62" spans="1:26" s="24" customFormat="1" hidden="1" outlineLevel="2" x14ac:dyDescent="0.3">
      <c r="A62" s="27"/>
      <c r="B62" s="11" t="str">
        <f>CONCATENATE("          ", "6243", " - ", "PAPER SUPPLIES")</f>
        <v xml:space="preserve">          6243 - PAPER SUPPLIES</v>
      </c>
      <c r="C62" s="11"/>
      <c r="D62" s="6">
        <v>1801.68</v>
      </c>
      <c r="E62" s="2"/>
      <c r="F62" s="7">
        <f t="shared" si="44"/>
        <v>3.220513704182424E-2</v>
      </c>
      <c r="G62" s="2"/>
      <c r="H62" s="6">
        <v>900</v>
      </c>
      <c r="I62" s="2"/>
      <c r="J62" s="7">
        <f t="shared" si="45"/>
        <v>2.0134228187919462E-2</v>
      </c>
      <c r="K62" s="2"/>
      <c r="L62" s="6">
        <f t="shared" si="46"/>
        <v>901.68000000000006</v>
      </c>
      <c r="M62" s="2"/>
      <c r="N62" s="7">
        <f t="shared" si="47"/>
        <v>1.0018666666666667</v>
      </c>
      <c r="O62" s="11"/>
      <c r="P62" s="6">
        <v>3450.92</v>
      </c>
      <c r="Q62" s="2"/>
      <c r="R62" s="7">
        <f t="shared" si="48"/>
        <v>5.9014629503176284E-2</v>
      </c>
      <c r="S62" s="2"/>
      <c r="T62" s="6">
        <v>5100</v>
      </c>
      <c r="U62" s="2"/>
      <c r="V62" s="7">
        <f t="shared" si="49"/>
        <v>0.10759493670886076</v>
      </c>
      <c r="W62" s="2"/>
      <c r="X62" s="6">
        <f t="shared" si="50"/>
        <v>-1649.08</v>
      </c>
      <c r="Y62" s="2"/>
      <c r="Z62" s="7">
        <f t="shared" si="51"/>
        <v>-0.32334901960784312</v>
      </c>
    </row>
    <row r="63" spans="1:26" s="24" customFormat="1" hidden="1" outlineLevel="2" x14ac:dyDescent="0.3">
      <c r="A63" s="27"/>
      <c r="B63" s="11" t="str">
        <f>CONCATENATE("          ", "6245", " - ", "PRINTING")</f>
        <v xml:space="preserve">          6245 - PRINTING</v>
      </c>
      <c r="C63" s="11"/>
      <c r="D63" s="6">
        <v>-1187.1400000000001</v>
      </c>
      <c r="E63" s="2"/>
      <c r="F63" s="7">
        <f t="shared" si="44"/>
        <v>-2.1220198030633203E-2</v>
      </c>
      <c r="G63" s="2"/>
      <c r="H63" s="6">
        <v>30</v>
      </c>
      <c r="I63" s="2"/>
      <c r="J63" s="7">
        <f t="shared" si="45"/>
        <v>6.711409395973154E-4</v>
      </c>
      <c r="K63" s="2"/>
      <c r="L63" s="6">
        <f t="shared" si="46"/>
        <v>-1217.1400000000001</v>
      </c>
      <c r="M63" s="2"/>
      <c r="N63" s="7">
        <f t="shared" si="47"/>
        <v>-40.571333333333335</v>
      </c>
      <c r="O63" s="11"/>
      <c r="P63" s="6">
        <v>-935.5</v>
      </c>
      <c r="Q63" s="2"/>
      <c r="R63" s="7">
        <f t="shared" si="48"/>
        <v>-1.5998106562951739E-2</v>
      </c>
      <c r="S63" s="2"/>
      <c r="T63" s="6">
        <v>55</v>
      </c>
      <c r="U63" s="2"/>
      <c r="V63" s="7">
        <f t="shared" si="49"/>
        <v>1.160337552742616E-3</v>
      </c>
      <c r="W63" s="2"/>
      <c r="X63" s="6">
        <f t="shared" si="50"/>
        <v>-990.5</v>
      </c>
      <c r="Y63" s="2"/>
      <c r="Z63" s="7">
        <f t="shared" si="51"/>
        <v>-18.009090909090908</v>
      </c>
    </row>
    <row r="64" spans="1:26" s="24" customFormat="1" hidden="1" outlineLevel="2" x14ac:dyDescent="0.3">
      <c r="A64" s="27"/>
      <c r="B64" s="11" t="str">
        <f>CONCATENATE("          ", "6247", " - ", "STORE SUPPLIES")</f>
        <v xml:space="preserve">          6247 - STORE SUPPLIES</v>
      </c>
      <c r="C64" s="11"/>
      <c r="D64" s="6">
        <v>1752.61</v>
      </c>
      <c r="E64" s="2"/>
      <c r="F64" s="7">
        <f t="shared" si="44"/>
        <v>3.1328007876466175E-2</v>
      </c>
      <c r="G64" s="2"/>
      <c r="H64" s="6">
        <v>0</v>
      </c>
      <c r="I64" s="2"/>
      <c r="J64" s="7">
        <f t="shared" si="45"/>
        <v>0</v>
      </c>
      <c r="K64" s="2"/>
      <c r="L64" s="6">
        <f t="shared" si="46"/>
        <v>1752.61</v>
      </c>
      <c r="M64" s="2"/>
      <c r="N64" s="7">
        <f t="shared" si="47"/>
        <v>0</v>
      </c>
      <c r="O64" s="11"/>
      <c r="P64" s="6">
        <v>2814.67</v>
      </c>
      <c r="Q64" s="2"/>
      <c r="R64" s="7">
        <f t="shared" si="48"/>
        <v>4.8134035916134014E-2</v>
      </c>
      <c r="S64" s="2"/>
      <c r="T64" s="6">
        <v>205</v>
      </c>
      <c r="U64" s="2"/>
      <c r="V64" s="7">
        <f t="shared" si="49"/>
        <v>4.3248945147679324E-3</v>
      </c>
      <c r="W64" s="2"/>
      <c r="X64" s="6">
        <f t="shared" si="50"/>
        <v>2609.67</v>
      </c>
      <c r="Y64" s="2"/>
      <c r="Z64" s="7">
        <f t="shared" si="51"/>
        <v>12.73009756097561</v>
      </c>
    </row>
    <row r="65" spans="1:26" s="28" customFormat="1" outlineLevel="1" collapsed="1" x14ac:dyDescent="0.3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SUM(OSRRefD22_9x_0)</f>
        <v>159.5</v>
      </c>
      <c r="E65" s="1"/>
      <c r="F65" s="5">
        <f t="shared" ref="F65:F66" si="52">IF(D$12=0,0,D65/D$12)</f>
        <v>2.8510719762504808E-3</v>
      </c>
      <c r="G65" s="1"/>
      <c r="H65" s="1">
        <f>SUM(OSRRefH22_9x_0)</f>
        <v>175</v>
      </c>
      <c r="I65" s="1"/>
      <c r="J65" s="5">
        <f t="shared" ref="J65:J66" si="53">IF(H$12=0,0,H65/H$12)</f>
        <v>3.9149888143176735E-3</v>
      </c>
      <c r="K65" s="1"/>
      <c r="L65" s="1">
        <f t="shared" ref="L65:L66" si="54">+D65-H65</f>
        <v>-15.5</v>
      </c>
      <c r="M65" s="1"/>
      <c r="N65" s="5">
        <f t="shared" ref="N65:N66" si="55">IF(H65=0,0,L65/H65)</f>
        <v>-8.8571428571428565E-2</v>
      </c>
      <c r="O65" s="14"/>
      <c r="P65" s="1">
        <f>SUM(OSRRefP22_9x_0)</f>
        <v>327.3</v>
      </c>
      <c r="Q65" s="1"/>
      <c r="R65" s="5">
        <f t="shared" ref="R65:R66" si="56">IF(P$12=0,0,P65/P$12)</f>
        <v>5.597199655856872E-3</v>
      </c>
      <c r="S65" s="1"/>
      <c r="T65" s="1">
        <f>SUM(OSRRefT22_9x_0)</f>
        <v>350</v>
      </c>
      <c r="U65" s="1"/>
      <c r="V65" s="5">
        <f t="shared" ref="V65:V66" si="57">IF(T$12=0,0,T65/T$12)</f>
        <v>7.3839662447257384E-3</v>
      </c>
      <c r="W65" s="1"/>
      <c r="X65" s="1">
        <f t="shared" ref="X65:X66" si="58">+P65-T65</f>
        <v>-22.699999999999989</v>
      </c>
      <c r="Y65" s="1"/>
      <c r="Z65" s="5">
        <f t="shared" ref="Z65:Z66" si="59">IF(T65=0,0,X65/T65)</f>
        <v>-6.4857142857142822E-2</v>
      </c>
    </row>
    <row r="66" spans="1:26" s="24" customFormat="1" hidden="1" outlineLevel="2" x14ac:dyDescent="0.3">
      <c r="A66" s="27"/>
      <c r="B66" s="11" t="str">
        <f>CONCATENATE("          ", "6309", " - ", "TELEPHONE")</f>
        <v xml:space="preserve">          6309 - TELEPHONE</v>
      </c>
      <c r="C66" s="11"/>
      <c r="D66" s="6">
        <v>159.5</v>
      </c>
      <c r="E66" s="2"/>
      <c r="F66" s="7">
        <f t="shared" si="52"/>
        <v>2.8510719762504808E-3</v>
      </c>
      <c r="G66" s="2"/>
      <c r="H66" s="6">
        <v>175</v>
      </c>
      <c r="I66" s="2"/>
      <c r="J66" s="7">
        <f t="shared" si="53"/>
        <v>3.9149888143176735E-3</v>
      </c>
      <c r="K66" s="2"/>
      <c r="L66" s="6">
        <f t="shared" si="54"/>
        <v>-15.5</v>
      </c>
      <c r="M66" s="2"/>
      <c r="N66" s="7">
        <f t="shared" si="55"/>
        <v>-8.8571428571428565E-2</v>
      </c>
      <c r="O66" s="11"/>
      <c r="P66" s="6">
        <v>327.3</v>
      </c>
      <c r="Q66" s="2"/>
      <c r="R66" s="7">
        <f t="shared" si="56"/>
        <v>5.597199655856872E-3</v>
      </c>
      <c r="S66" s="2"/>
      <c r="T66" s="6">
        <v>350</v>
      </c>
      <c r="U66" s="2"/>
      <c r="V66" s="7">
        <f t="shared" si="57"/>
        <v>7.3839662447257384E-3</v>
      </c>
      <c r="W66" s="2"/>
      <c r="X66" s="6">
        <f t="shared" si="58"/>
        <v>-22.699999999999989</v>
      </c>
      <c r="Y66" s="2"/>
      <c r="Z66" s="7">
        <f t="shared" si="59"/>
        <v>-6.4857142857142822E-2</v>
      </c>
    </row>
    <row r="67" spans="1:26" s="53" customFormat="1" x14ac:dyDescent="0.3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3">
      <c r="A68" s="10"/>
      <c r="B68" s="25" t="s">
        <v>293</v>
      </c>
      <c r="C68" s="10"/>
      <c r="D68" s="4">
        <f>SUM(OSRRefD25x_0)</f>
        <v>0</v>
      </c>
      <c r="E68" s="4"/>
      <c r="F68" s="12">
        <f t="shared" ref="F68:F69" si="60">IF(D$12=0,0,D68/D$12)</f>
        <v>0</v>
      </c>
      <c r="G68" s="4"/>
      <c r="H68" s="4">
        <f>SUM(OSRRefH25x_0)</f>
        <v>6782</v>
      </c>
      <c r="I68" s="4"/>
      <c r="J68" s="12">
        <f t="shared" ref="J68:J69" si="61">IF(H$12=0,0,H68/H$12)</f>
        <v>0.15172259507829977</v>
      </c>
      <c r="K68" s="4"/>
      <c r="L68" s="4">
        <f t="shared" ref="L68:L69" si="62">+D68-H68</f>
        <v>-6782</v>
      </c>
      <c r="M68" s="4"/>
      <c r="N68" s="12">
        <f t="shared" ref="N68:N69" si="63">IF(H68=0,0,L68/H68)</f>
        <v>-1</v>
      </c>
      <c r="O68" s="10"/>
      <c r="P68" s="4">
        <f>SUM(OSRRefP25x_0)</f>
        <v>0</v>
      </c>
      <c r="Q68" s="4"/>
      <c r="R68" s="12">
        <f t="shared" ref="R68:R69" si="64">IF(P$12=0,0,P68/P$12)</f>
        <v>0</v>
      </c>
      <c r="S68" s="4"/>
      <c r="T68" s="4">
        <f>SUM(OSRRefT25x_0)</f>
        <v>13564</v>
      </c>
      <c r="U68" s="4"/>
      <c r="V68" s="12">
        <f t="shared" ref="V68:V69" si="65">IF(T$12=0,0,T68/T$12)</f>
        <v>0.28616033755274262</v>
      </c>
      <c r="W68" s="4"/>
      <c r="X68" s="4">
        <f t="shared" ref="X68:X69" si="66">+P68-T68</f>
        <v>-13564</v>
      </c>
      <c r="Y68" s="4"/>
      <c r="Z68" s="12">
        <f t="shared" ref="Z68:Z69" si="67">IF(T68=0,0,X68/T68)</f>
        <v>-1</v>
      </c>
    </row>
    <row r="69" spans="1:26" s="24" customFormat="1" hidden="1" outlineLevel="1" x14ac:dyDescent="0.3">
      <c r="A69" s="44"/>
      <c r="B69" s="11" t="str">
        <f>CONCATENATE("          ", "9150", " - ", "MISC. INCOME")</f>
        <v xml:space="preserve">          9150 - MISC. INCOME</v>
      </c>
      <c r="C69" s="11"/>
      <c r="D69" s="2">
        <f>0</f>
        <v>0</v>
      </c>
      <c r="E69" s="2"/>
      <c r="F69" s="19">
        <f t="shared" si="60"/>
        <v>0</v>
      </c>
      <c r="G69" s="2"/>
      <c r="H69" s="2">
        <v>6782</v>
      </c>
      <c r="I69" s="2"/>
      <c r="J69" s="19">
        <f t="shared" si="61"/>
        <v>0.15172259507829977</v>
      </c>
      <c r="K69" s="2"/>
      <c r="L69" s="2">
        <f t="shared" si="62"/>
        <v>-6782</v>
      </c>
      <c r="M69" s="2"/>
      <c r="N69" s="19">
        <f t="shared" si="63"/>
        <v>-1</v>
      </c>
      <c r="O69" s="11"/>
      <c r="P69" s="2">
        <f>0</f>
        <v>0</v>
      </c>
      <c r="Q69" s="2"/>
      <c r="R69" s="19">
        <f t="shared" si="64"/>
        <v>0</v>
      </c>
      <c r="S69" s="2"/>
      <c r="T69" s="2">
        <v>13564</v>
      </c>
      <c r="U69" s="2"/>
      <c r="V69" s="19">
        <f t="shared" si="65"/>
        <v>0.28616033755274262</v>
      </c>
      <c r="W69" s="2"/>
      <c r="X69" s="2">
        <f t="shared" si="66"/>
        <v>-13564</v>
      </c>
      <c r="Y69" s="2"/>
      <c r="Z69" s="19">
        <f t="shared" si="67"/>
        <v>-1</v>
      </c>
    </row>
    <row r="70" spans="1:26" x14ac:dyDescent="0.3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3">
      <c r="A71" s="10"/>
      <c r="B71" s="26" t="s">
        <v>277</v>
      </c>
      <c r="C71" s="26"/>
      <c r="D71" s="21">
        <f>+D22-D24+D68</f>
        <v>38105.460000000006</v>
      </c>
      <c r="E71" s="13"/>
      <c r="F71" s="20">
        <f>IF(D$12=0,0,D71/D$12)</f>
        <v>0.68113736143030512</v>
      </c>
      <c r="G71" s="13"/>
      <c r="H71" s="21">
        <f>+H22-H24+H68</f>
        <v>59850.868195769217</v>
      </c>
      <c r="I71" s="13"/>
      <c r="J71" s="20">
        <f>IF(H$12=0,0,H71/H$12)</f>
        <v>1.3389455972207878</v>
      </c>
      <c r="K71" s="16"/>
      <c r="L71" s="21">
        <f>+D71-H71</f>
        <v>-21745.408195769211</v>
      </c>
      <c r="M71" s="16"/>
      <c r="N71" s="20">
        <f>IF(H71=0,0,L71/H71)</f>
        <v>-0.36332652894258877</v>
      </c>
      <c r="O71" s="25"/>
      <c r="P71" s="21">
        <f>+P22-P24+P68</f>
        <v>2978.3799999999974</v>
      </c>
      <c r="Q71" s="13"/>
      <c r="R71" s="20">
        <f>IF(P$12=0,0,P71/P$12)</f>
        <v>5.0933661811826993E-2</v>
      </c>
      <c r="S71" s="13"/>
      <c r="T71" s="21">
        <f>+T22-T24+T68</f>
        <v>18056.086440480693</v>
      </c>
      <c r="U71" s="13"/>
      <c r="V71" s="20">
        <f>IF(T$12=0,0,T71/T$12)</f>
        <v>0.38093009368102726</v>
      </c>
      <c r="W71" s="16"/>
      <c r="X71" s="21">
        <f>+P71-T71</f>
        <v>-15077.706440480695</v>
      </c>
      <c r="Y71" s="16"/>
      <c r="Z71" s="20">
        <f>IF(T71=0,0,X71/T71)</f>
        <v>-0.83504841927857398</v>
      </c>
    </row>
    <row r="72" spans="1:26" x14ac:dyDescent="0.3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">
      <c r="A73" s="52"/>
      <c r="B73" s="10" t="s">
        <v>128</v>
      </c>
      <c r="C73" s="10"/>
      <c r="D73" s="4">
        <v>7568.52</v>
      </c>
      <c r="E73" s="4"/>
      <c r="F73" s="12">
        <f>IF(D$12=0,0,D73/D$12)</f>
        <v>0.13528774466264132</v>
      </c>
      <c r="G73" s="4"/>
      <c r="H73" s="4">
        <v>4331</v>
      </c>
      <c r="I73" s="4"/>
      <c r="J73" s="12">
        <f>IF(H$12=0,0,H73/H$12)</f>
        <v>9.6890380313199104E-2</v>
      </c>
      <c r="K73" s="4"/>
      <c r="L73" s="4">
        <f>+D73-H73</f>
        <v>3237.5200000000004</v>
      </c>
      <c r="M73" s="4"/>
      <c r="N73" s="12">
        <f>IF(H73=0,0,L73/H73)</f>
        <v>0.7475225121219119</v>
      </c>
      <c r="O73" s="10"/>
      <c r="P73" s="4">
        <v>8738.2000000000007</v>
      </c>
      <c r="Q73" s="4"/>
      <c r="R73" s="12">
        <f>IF(P$12=0,0,P73/P$12)</f>
        <v>0.14943308900949748</v>
      </c>
      <c r="S73" s="4"/>
      <c r="T73" s="4">
        <v>5309</v>
      </c>
      <c r="U73" s="4"/>
      <c r="V73" s="12">
        <f>IF(T$12=0,0,T73/T$12)</f>
        <v>0.11200421940928271</v>
      </c>
      <c r="W73" s="4"/>
      <c r="X73" s="4">
        <f>+P73-T73</f>
        <v>3429.2000000000007</v>
      </c>
      <c r="Y73" s="4"/>
      <c r="Z73" s="12">
        <f>IF(T73=0,0,X73/T73)</f>
        <v>0.64592201921265791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" thickBot="1" x14ac:dyDescent="0.35">
      <c r="A75" s="10"/>
      <c r="B75" s="26" t="s">
        <v>126</v>
      </c>
      <c r="C75" s="26"/>
      <c r="D75" s="30">
        <f>+D71-D73</f>
        <v>30536.940000000006</v>
      </c>
      <c r="E75" s="13"/>
      <c r="F75" s="35">
        <f>IF(D$12=0,0,D75/D$12)</f>
        <v>0.54584961676766386</v>
      </c>
      <c r="G75" s="13"/>
      <c r="H75" s="30">
        <f>+H71-H73</f>
        <v>55519.868195769217</v>
      </c>
      <c r="I75" s="13"/>
      <c r="J75" s="35">
        <f>IF(H$12=0,0,H75/H$12)</f>
        <v>1.2420552169075887</v>
      </c>
      <c r="K75" s="16"/>
      <c r="L75" s="30">
        <f>D75-H75</f>
        <v>-24982.928195769211</v>
      </c>
      <c r="M75" s="16"/>
      <c r="N75" s="35">
        <f>IF(H75=0,0,L75/H75)</f>
        <v>-0.44998176342344032</v>
      </c>
      <c r="O75" s="25"/>
      <c r="P75" s="30">
        <f>+P71-P73</f>
        <v>-5759.8200000000033</v>
      </c>
      <c r="Q75" s="13"/>
      <c r="R75" s="35">
        <f>IF(P$12=0,0,P75/P$12)</f>
        <v>-9.8499427197670478E-2</v>
      </c>
      <c r="S75" s="13"/>
      <c r="T75" s="30">
        <f>+T71-T73</f>
        <v>12747.086440480693</v>
      </c>
      <c r="U75" s="13"/>
      <c r="V75" s="35">
        <f>IF(T$12=0,0,T75/T$12)</f>
        <v>0.26892587427174458</v>
      </c>
      <c r="W75" s="16"/>
      <c r="X75" s="30">
        <f>P75-T75</f>
        <v>-18506.906440480696</v>
      </c>
      <c r="Y75" s="16"/>
      <c r="Z75" s="35">
        <f>IF(T75=0,0,X75/T75)</f>
        <v>-1.4518538433777815</v>
      </c>
    </row>
    <row r="76" spans="1:26" ht="15" thickTop="1" x14ac:dyDescent="0.3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3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35">
      <c r="A78" s="10"/>
      <c r="B78" s="26" t="s">
        <v>294</v>
      </c>
      <c r="C78" s="26"/>
      <c r="D78" s="32">
        <f>SUM(D75:D77)</f>
        <v>30536.940000000006</v>
      </c>
      <c r="E78" s="13"/>
      <c r="F78" s="34">
        <f>IF(D$12=0,0,D78/D$12)</f>
        <v>0.54584961676766386</v>
      </c>
      <c r="G78" s="13"/>
      <c r="H78" s="32">
        <f>SUM(H75:H77)</f>
        <v>55519.868195769217</v>
      </c>
      <c r="I78" s="13"/>
      <c r="J78" s="34">
        <f>IF(H$12=0,0,H78/H$12)</f>
        <v>1.2420552169075887</v>
      </c>
      <c r="K78" s="16"/>
      <c r="L78" s="32">
        <f>+D78-H78</f>
        <v>-24982.928195769211</v>
      </c>
      <c r="M78" s="16"/>
      <c r="N78" s="34">
        <f>IF(H78=0,0,L78/H78)</f>
        <v>-0.44998176342344032</v>
      </c>
      <c r="O78" s="25"/>
      <c r="P78" s="32">
        <f>SUM(P75:P77)</f>
        <v>-5759.8200000000033</v>
      </c>
      <c r="Q78" s="13"/>
      <c r="R78" s="34">
        <f>IF(P$12=0,0,P78/P$12)</f>
        <v>-9.8499427197670478E-2</v>
      </c>
      <c r="S78" s="13"/>
      <c r="T78" s="32">
        <f>SUM(T75:T77)</f>
        <v>12747.086440480693</v>
      </c>
      <c r="U78" s="13"/>
      <c r="V78" s="34">
        <f>IF(T$12=0,0,T78/T$12)</f>
        <v>0.26892587427174458</v>
      </c>
      <c r="W78" s="16"/>
      <c r="X78" s="32">
        <f>+P78-T78</f>
        <v>-18506.906440480696</v>
      </c>
      <c r="Y78" s="16"/>
      <c r="Z78" s="34">
        <f>IF(T78=0,0,X78/T78)</f>
        <v>-1.4518538433777815</v>
      </c>
    </row>
    <row r="79" spans="1:26" ht="15" thickTop="1" x14ac:dyDescent="0.3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3">
      <c r="A80" s="9"/>
      <c r="B80" s="61">
        <v>44470.835499687499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3">
      <c r="A81" s="9"/>
      <c r="B81" s="58" t="s">
        <v>56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">
      <c r="A82" s="9"/>
      <c r="B82" s="55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343373.57</v>
      </c>
      <c r="E12" s="4"/>
      <c r="F12" s="12"/>
      <c r="G12" s="4"/>
      <c r="H12" s="4">
        <f>SUM(OSRRefH13x_0)</f>
        <v>376137</v>
      </c>
      <c r="I12" s="4"/>
      <c r="J12" s="12"/>
      <c r="K12" s="4"/>
      <c r="L12" s="4">
        <f t="shared" ref="L12:L16" si="0">+D12-H12</f>
        <v>-32763.429999999993</v>
      </c>
      <c r="M12" s="4"/>
      <c r="N12" s="12">
        <f t="shared" ref="N12:N16" si="1">IF(H12=0,0,L12/H12)</f>
        <v>-8.7105044172734916E-2</v>
      </c>
      <c r="O12" s="10"/>
      <c r="P12" s="4">
        <f>SUM(OSRRefP13x_0)</f>
        <v>438679.86999999994</v>
      </c>
      <c r="Q12" s="4"/>
      <c r="R12" s="12"/>
      <c r="S12" s="4"/>
      <c r="T12" s="4">
        <f>SUM(OSRRefT13x_0)</f>
        <v>653890</v>
      </c>
      <c r="U12" s="4"/>
      <c r="V12" s="12"/>
      <c r="W12" s="4"/>
      <c r="X12" s="4">
        <f t="shared" ref="X12:X16" si="2">+P12-T12</f>
        <v>-215210.13000000006</v>
      </c>
      <c r="Y12" s="4"/>
      <c r="Z12" s="12">
        <f t="shared" ref="Z12:Z16" si="3">IF(T12=0,0,X12/T12)</f>
        <v>-0.32912283411582999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--300209.47</f>
        <v>300209.46999999997</v>
      </c>
      <c r="E13" s="2"/>
      <c r="F13" s="19"/>
      <c r="G13" s="2"/>
      <c r="H13" s="2">
        <v>356294</v>
      </c>
      <c r="I13" s="2"/>
      <c r="J13" s="19"/>
      <c r="K13" s="2"/>
      <c r="L13" s="2">
        <f t="shared" si="0"/>
        <v>-56084.530000000028</v>
      </c>
      <c r="M13" s="2"/>
      <c r="N13" s="19">
        <f t="shared" si="1"/>
        <v>-0.15741081803229925</v>
      </c>
      <c r="O13" s="11"/>
      <c r="P13" s="2">
        <f>--382165.73</f>
        <v>382165.73</v>
      </c>
      <c r="Q13" s="2"/>
      <c r="R13" s="19"/>
      <c r="S13" s="2"/>
      <c r="T13" s="2">
        <v>624271</v>
      </c>
      <c r="U13" s="2"/>
      <c r="V13" s="19"/>
      <c r="W13" s="2"/>
      <c r="X13" s="2">
        <f t="shared" si="2"/>
        <v>-242105.27000000002</v>
      </c>
      <c r="Y13" s="2"/>
      <c r="Z13" s="19">
        <f t="shared" si="3"/>
        <v>-0.38782078616498289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--75809.9</f>
        <v>75809.899999999994</v>
      </c>
      <c r="E14" s="2"/>
      <c r="F14" s="19"/>
      <c r="G14" s="2"/>
      <c r="H14" s="2">
        <v>19843</v>
      </c>
      <c r="I14" s="2"/>
      <c r="J14" s="19"/>
      <c r="K14" s="2"/>
      <c r="L14" s="2">
        <f t="shared" si="0"/>
        <v>55966.899999999994</v>
      </c>
      <c r="M14" s="2"/>
      <c r="N14" s="19">
        <f t="shared" si="1"/>
        <v>2.8204858136370508</v>
      </c>
      <c r="O14" s="11"/>
      <c r="P14" s="2">
        <f>--116777.88</f>
        <v>116777.88</v>
      </c>
      <c r="Q14" s="2"/>
      <c r="R14" s="19"/>
      <c r="S14" s="2"/>
      <c r="T14" s="2">
        <v>29619</v>
      </c>
      <c r="U14" s="2"/>
      <c r="V14" s="19"/>
      <c r="W14" s="2"/>
      <c r="X14" s="2">
        <f t="shared" si="2"/>
        <v>87158.88</v>
      </c>
      <c r="Y14" s="2"/>
      <c r="Z14" s="19">
        <f t="shared" si="3"/>
        <v>2.9426678821027044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-32397.97</f>
        <v>-32397.97</v>
      </c>
      <c r="E15" s="2"/>
      <c r="F15" s="19"/>
      <c r="G15" s="2"/>
      <c r="H15" s="2"/>
      <c r="I15" s="2"/>
      <c r="J15" s="19"/>
      <c r="K15" s="2"/>
      <c r="L15" s="2">
        <f t="shared" si="0"/>
        <v>-32397.97</v>
      </c>
      <c r="M15" s="2"/>
      <c r="N15" s="19">
        <f t="shared" si="1"/>
        <v>0</v>
      </c>
      <c r="O15" s="11"/>
      <c r="P15" s="2">
        <f>-59616.91</f>
        <v>-59616.91</v>
      </c>
      <c r="Q15" s="2"/>
      <c r="R15" s="19"/>
      <c r="S15" s="2"/>
      <c r="T15" s="2"/>
      <c r="U15" s="2"/>
      <c r="V15" s="19"/>
      <c r="W15" s="2"/>
      <c r="X15" s="2">
        <f t="shared" si="2"/>
        <v>-59616.91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-247.83</f>
        <v>-247.83</v>
      </c>
      <c r="E16" s="2"/>
      <c r="F16" s="19"/>
      <c r="G16" s="2"/>
      <c r="H16" s="2"/>
      <c r="I16" s="2"/>
      <c r="J16" s="19"/>
      <c r="K16" s="2"/>
      <c r="L16" s="2">
        <f t="shared" si="0"/>
        <v>-247.83</v>
      </c>
      <c r="M16" s="2"/>
      <c r="N16" s="19">
        <f t="shared" si="1"/>
        <v>0</v>
      </c>
      <c r="O16" s="11"/>
      <c r="P16" s="2">
        <f>-646.83</f>
        <v>-646.83000000000004</v>
      </c>
      <c r="Q16" s="2"/>
      <c r="R16" s="19"/>
      <c r="S16" s="2"/>
      <c r="T16" s="2"/>
      <c r="U16" s="2"/>
      <c r="V16" s="19"/>
      <c r="W16" s="2"/>
      <c r="X16" s="2">
        <f t="shared" si="2"/>
        <v>-646.83000000000004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257</v>
      </c>
      <c r="C18" s="10"/>
      <c r="D18" s="4">
        <f>SUM(OSRRefD16x_0)</f>
        <v>291793.13</v>
      </c>
      <c r="E18" s="4"/>
      <c r="F18" s="12">
        <f t="shared" ref="F18:F28" si="4">IF(D$12=0,0,D18/D$12)</f>
        <v>0.84978331325850154</v>
      </c>
      <c r="G18" s="4"/>
      <c r="H18" s="4">
        <f>SUM(OSRRefH16x_0)</f>
        <v>336642</v>
      </c>
      <c r="I18" s="4"/>
      <c r="J18" s="12">
        <f t="shared" ref="J18:J28" si="5">IF(H$12=0,0,H18/H$12)</f>
        <v>0.894998364957449</v>
      </c>
      <c r="K18" s="4"/>
      <c r="L18" s="4">
        <f t="shared" ref="L18:L28" si="6">+D18-H18</f>
        <v>-44848.869999999995</v>
      </c>
      <c r="M18" s="4"/>
      <c r="N18" s="12">
        <f t="shared" ref="N18:N28" si="7">IF(H18=0,0,L18/H18)</f>
        <v>-0.13322422632945383</v>
      </c>
      <c r="O18" s="10"/>
      <c r="P18" s="4">
        <f>SUM(OSRRefP16x_0)</f>
        <v>374164.6</v>
      </c>
      <c r="Q18" s="4"/>
      <c r="R18" s="12">
        <f t="shared" ref="R18:R28" si="8">IF(P$12=0,0,P18/P$12)</f>
        <v>0.85293314233908213</v>
      </c>
      <c r="S18" s="4"/>
      <c r="T18" s="4">
        <f>SUM(OSRRefT16x_0)</f>
        <v>585231</v>
      </c>
      <c r="U18" s="4"/>
      <c r="V18" s="12">
        <f t="shared" ref="V18:V28" si="9">IF(T$12=0,0,T18/T$12)</f>
        <v>0.89499915887993398</v>
      </c>
      <c r="W18" s="4"/>
      <c r="X18" s="4">
        <f t="shared" ref="X18:X28" si="10">+P18-T18</f>
        <v>-211066.40000000002</v>
      </c>
      <c r="Y18" s="4"/>
      <c r="Z18" s="12">
        <f t="shared" ref="Z18:Z28" si="11">IF(T18=0,0,X18/T18)</f>
        <v>-0.36065485252831792</v>
      </c>
    </row>
    <row r="19" spans="1:26" s="24" customFormat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285773.33</v>
      </c>
      <c r="E19" s="2"/>
      <c r="F19" s="19">
        <f t="shared" si="4"/>
        <v>0.83225196977158145</v>
      </c>
      <c r="G19" s="2"/>
      <c r="H19" s="2">
        <v>336642</v>
      </c>
      <c r="I19" s="2"/>
      <c r="J19" s="19">
        <f t="shared" si="5"/>
        <v>0.894998364957449</v>
      </c>
      <c r="K19" s="2"/>
      <c r="L19" s="2">
        <f t="shared" si="6"/>
        <v>-50868.669999999984</v>
      </c>
      <c r="M19" s="2"/>
      <c r="N19" s="19">
        <f t="shared" si="7"/>
        <v>-0.15110613054817873</v>
      </c>
      <c r="O19" s="11"/>
      <c r="P19" s="2">
        <v>383135.87</v>
      </c>
      <c r="Q19" s="2"/>
      <c r="R19" s="19">
        <f t="shared" si="8"/>
        <v>0.87338375020490466</v>
      </c>
      <c r="S19" s="2"/>
      <c r="T19" s="2">
        <v>585231</v>
      </c>
      <c r="U19" s="2"/>
      <c r="V19" s="19">
        <f t="shared" si="9"/>
        <v>0.89499915887993398</v>
      </c>
      <c r="W19" s="2"/>
      <c r="X19" s="2">
        <f t="shared" si="10"/>
        <v>-202095.13</v>
      </c>
      <c r="Y19" s="2"/>
      <c r="Z19" s="19">
        <f t="shared" si="11"/>
        <v>-0.34532540142268608</v>
      </c>
    </row>
    <row r="20" spans="1:26" s="24" customFormat="1" outlineLevel="1" x14ac:dyDescent="0.3">
      <c r="A20" s="44"/>
      <c r="B20" s="11" t="str">
        <f>CONCATENATE("          ", "5081", " - ", "PURCHASES @ COST-ELECTRONICS")</f>
        <v xml:space="preserve">          5081 - PURCHASES @ COST-ELECTRONICS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outlineLevel="1" x14ac:dyDescent="0.3">
      <c r="A21" s="44"/>
      <c r="B21" s="11" t="str">
        <f>CONCATENATE("          ", "5082", " - ", "PURCHASES @ COST-COMPUTER HARD")</f>
        <v xml:space="preserve">          5082 - PURCHASES @ COST-COMPUTER HARD</v>
      </c>
      <c r="C21" s="11"/>
      <c r="D21" s="2">
        <v>-23501.200000000001</v>
      </c>
      <c r="E21" s="2"/>
      <c r="F21" s="19">
        <f t="shared" si="4"/>
        <v>-6.8442076074754388E-2</v>
      </c>
      <c r="G21" s="2"/>
      <c r="H21" s="2"/>
      <c r="I21" s="2"/>
      <c r="J21" s="19">
        <f t="shared" si="5"/>
        <v>0</v>
      </c>
      <c r="K21" s="2"/>
      <c r="L21" s="2">
        <f t="shared" si="6"/>
        <v>-23501.200000000001</v>
      </c>
      <c r="M21" s="2"/>
      <c r="N21" s="19">
        <f t="shared" si="7"/>
        <v>0</v>
      </c>
      <c r="O21" s="11"/>
      <c r="P21" s="2">
        <v>-34403.82</v>
      </c>
      <c r="Q21" s="2"/>
      <c r="R21" s="19">
        <f t="shared" si="8"/>
        <v>-7.842580057297821E-2</v>
      </c>
      <c r="S21" s="2"/>
      <c r="T21" s="2"/>
      <c r="U21" s="2"/>
      <c r="V21" s="19">
        <f t="shared" si="9"/>
        <v>0</v>
      </c>
      <c r="W21" s="2"/>
      <c r="X21" s="2">
        <f t="shared" si="10"/>
        <v>-34403.82</v>
      </c>
      <c r="Y21" s="2"/>
      <c r="Z21" s="19">
        <f t="shared" si="11"/>
        <v>0</v>
      </c>
    </row>
    <row r="22" spans="1:26" s="24" customFormat="1" outlineLevel="1" x14ac:dyDescent="0.3">
      <c r="A22" s="44"/>
      <c r="B22" s="11" t="str">
        <f>CONCATENATE("          ", "5083", " - ", "PURCHASES @ COST-COMPUTER EQUI")</f>
        <v xml:space="preserve">          5083 - PURCHASES @ COST-COMPUTER EQUI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outlineLevel="1" x14ac:dyDescent="0.3">
      <c r="A23" s="44"/>
      <c r="B23" s="11" t="str">
        <f>CONCATENATE("          ", "5085", " - ", "PURCHASES @ COST-SOFTWARE")</f>
        <v xml:space="preserve">          5085 - PURCHASES @ COST-SOFTWARE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outlineLevel="1" x14ac:dyDescent="0.3">
      <c r="A24" s="44"/>
      <c r="B24" s="11" t="str">
        <f>CONCATENATE("          ", "5086", " - ", "PURCHASES @ COST-COMPUTER SUPP")</f>
        <v xml:space="preserve">          5086 - PURCHASES @ COST-COMPUTER SUPP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outlineLevel="1" x14ac:dyDescent="0.3">
      <c r="A25" s="44"/>
      <c r="B25" s="11" t="str">
        <f>CONCATENATE("          ", "5200", " - ", "PURCHASES OFFSET")</f>
        <v xml:space="preserve">          5200 - PURCHASES OFFSET</v>
      </c>
      <c r="C25" s="11"/>
      <c r="D25" s="2">
        <v>-285788.87</v>
      </c>
      <c r="E25" s="2"/>
      <c r="F25" s="19">
        <f t="shared" si="4"/>
        <v>-0.83229722660366667</v>
      </c>
      <c r="G25" s="2"/>
      <c r="H25" s="2"/>
      <c r="I25" s="2"/>
      <c r="J25" s="19">
        <f t="shared" si="5"/>
        <v>0</v>
      </c>
      <c r="K25" s="2"/>
      <c r="L25" s="2">
        <f t="shared" si="6"/>
        <v>-285788.87</v>
      </c>
      <c r="M25" s="2"/>
      <c r="N25" s="19">
        <f t="shared" si="7"/>
        <v>0</v>
      </c>
      <c r="O25" s="11"/>
      <c r="P25" s="2">
        <v>-383171.52</v>
      </c>
      <c r="Q25" s="2"/>
      <c r="R25" s="19">
        <f t="shared" si="8"/>
        <v>-0.87346501675584087</v>
      </c>
      <c r="S25" s="2"/>
      <c r="T25" s="2"/>
      <c r="U25" s="2"/>
      <c r="V25" s="19">
        <f t="shared" si="9"/>
        <v>0</v>
      </c>
      <c r="W25" s="2"/>
      <c r="X25" s="2">
        <f t="shared" si="10"/>
        <v>-383171.52</v>
      </c>
      <c r="Y25" s="2"/>
      <c r="Z25" s="19">
        <f t="shared" si="11"/>
        <v>0</v>
      </c>
    </row>
    <row r="26" spans="1:26" s="24" customFormat="1" outlineLevel="1" x14ac:dyDescent="0.3">
      <c r="A26" s="44"/>
      <c r="B26" s="11" t="str">
        <f>CONCATENATE("          ", "5300", " - ", "COG$ OFFSET")</f>
        <v xml:space="preserve">          5300 - COG$ OFFSET</v>
      </c>
      <c r="C26" s="11"/>
      <c r="D26" s="2">
        <v>315294.33</v>
      </c>
      <c r="E26" s="2"/>
      <c r="F26" s="19">
        <f t="shared" si="4"/>
        <v>0.91822538933325593</v>
      </c>
      <c r="G26" s="2"/>
      <c r="H26" s="2"/>
      <c r="I26" s="2"/>
      <c r="J26" s="19">
        <f t="shared" si="5"/>
        <v>0</v>
      </c>
      <c r="K26" s="2"/>
      <c r="L26" s="2">
        <f t="shared" si="6"/>
        <v>315294.33</v>
      </c>
      <c r="M26" s="2"/>
      <c r="N26" s="19">
        <f t="shared" si="7"/>
        <v>0</v>
      </c>
      <c r="O26" s="11"/>
      <c r="P26" s="2">
        <v>408568.42</v>
      </c>
      <c r="Q26" s="2"/>
      <c r="R26" s="19">
        <f t="shared" si="8"/>
        <v>0.93135894291206034</v>
      </c>
      <c r="S26" s="2"/>
      <c r="T26" s="2"/>
      <c r="U26" s="2"/>
      <c r="V26" s="19">
        <f t="shared" si="9"/>
        <v>0</v>
      </c>
      <c r="W26" s="2"/>
      <c r="X26" s="2">
        <f t="shared" si="10"/>
        <v>408568.42</v>
      </c>
      <c r="Y26" s="2"/>
      <c r="Z26" s="19">
        <f t="shared" si="11"/>
        <v>0</v>
      </c>
    </row>
    <row r="27" spans="1:26" s="24" customFormat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2">
        <v>15.54</v>
      </c>
      <c r="E27" s="2"/>
      <c r="F27" s="19">
        <f t="shared" si="4"/>
        <v>4.5256832085241734E-5</v>
      </c>
      <c r="G27" s="2"/>
      <c r="H27" s="2"/>
      <c r="I27" s="2"/>
      <c r="J27" s="19">
        <f t="shared" si="5"/>
        <v>0</v>
      </c>
      <c r="K27" s="2"/>
      <c r="L27" s="2">
        <f t="shared" si="6"/>
        <v>15.54</v>
      </c>
      <c r="M27" s="2"/>
      <c r="N27" s="19">
        <f t="shared" si="7"/>
        <v>0</v>
      </c>
      <c r="O27" s="11"/>
      <c r="P27" s="2">
        <v>35.65</v>
      </c>
      <c r="Q27" s="2"/>
      <c r="R27" s="19">
        <f t="shared" si="8"/>
        <v>8.1266550936107476E-5</v>
      </c>
      <c r="S27" s="2"/>
      <c r="T27" s="2"/>
      <c r="U27" s="2"/>
      <c r="V27" s="19">
        <f t="shared" si="9"/>
        <v>0</v>
      </c>
      <c r="W27" s="2"/>
      <c r="X27" s="2">
        <f t="shared" si="10"/>
        <v>35.65</v>
      </c>
      <c r="Y27" s="2"/>
      <c r="Z27" s="19">
        <f t="shared" si="11"/>
        <v>0</v>
      </c>
    </row>
    <row r="28" spans="1:26" s="24" customFormat="1" outlineLevel="1" x14ac:dyDescent="0.3">
      <c r="A28" s="44"/>
      <c r="B28" s="11" t="str">
        <f>CONCATENATE("          ", "5583", " - ", "FREIGHT-IN-COMPUTER EQUIPMENT")</f>
        <v xml:space="preserve">          5583 - FREIGHT-IN-COMPUTER EQUIPMENT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108</v>
      </c>
      <c r="C30" s="26"/>
      <c r="D30" s="21">
        <f>D12-D18</f>
        <v>51580.44</v>
      </c>
      <c r="E30" s="13"/>
      <c r="F30" s="20">
        <f>IF(D$12=0,0,D30/D$12)</f>
        <v>0.15021668674149849</v>
      </c>
      <c r="G30" s="13"/>
      <c r="H30" s="21">
        <f>H12-H18</f>
        <v>39495</v>
      </c>
      <c r="I30" s="13"/>
      <c r="J30" s="20">
        <f>IF(H$12=0,0,H30/H$12)</f>
        <v>0.10500163504255099</v>
      </c>
      <c r="K30" s="16"/>
      <c r="L30" s="21">
        <f>+D30-H30</f>
        <v>12085.440000000002</v>
      </c>
      <c r="M30" s="16"/>
      <c r="N30" s="20">
        <f>IF(H30=0,0,L30/H30)</f>
        <v>0.30599924041017856</v>
      </c>
      <c r="O30" s="25"/>
      <c r="P30" s="21">
        <f>P12-P18</f>
        <v>64515.26999999996</v>
      </c>
      <c r="Q30" s="13"/>
      <c r="R30" s="20">
        <f>IF(P$12=0,0,P30/P$12)</f>
        <v>0.1470668576609179</v>
      </c>
      <c r="S30" s="13"/>
      <c r="T30" s="21">
        <f>T12-T18</f>
        <v>68659</v>
      </c>
      <c r="U30" s="13"/>
      <c r="V30" s="20">
        <f>IF(T$12=0,0,T30/T$12)</f>
        <v>0.10500084112006607</v>
      </c>
      <c r="W30" s="16"/>
      <c r="X30" s="21">
        <f>+P30-T30</f>
        <v>-4143.7300000000396</v>
      </c>
      <c r="Y30" s="16"/>
      <c r="Z30" s="20">
        <f>IF(T30=0,0,X30/T30)</f>
        <v>-6.0352320890197056E-2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2">
        <f>SUM(OSRRefD22x_0)</f>
        <v>14040.32</v>
      </c>
      <c r="E32" s="22"/>
      <c r="F32" s="31">
        <f t="shared" ref="F32:F43" si="12">IF(D$12=0,0,D32/D$12)</f>
        <v>4.0889343929411924E-2</v>
      </c>
      <c r="G32" s="22"/>
      <c r="H32" s="22">
        <f>SUM(OSRRefH22x_0)</f>
        <v>17498.206984870001</v>
      </c>
      <c r="I32" s="22"/>
      <c r="J32" s="31">
        <f t="shared" ref="J32:J43" si="13">IF(H$12=0,0,H32/H$12)</f>
        <v>4.6520834123922938E-2</v>
      </c>
      <c r="K32" s="4"/>
      <c r="L32" s="22">
        <f t="shared" ref="L32:L43" si="14">+D32-H32</f>
        <v>-3457.8869848700015</v>
      </c>
      <c r="M32" s="4"/>
      <c r="N32" s="31">
        <f t="shared" ref="N32:N43" si="15">IF(H32=0,0,L32/H32)</f>
        <v>-0.19761378910764388</v>
      </c>
      <c r="O32" s="10"/>
      <c r="P32" s="22">
        <f>SUM(OSRRefP22x_0)</f>
        <v>30924.99</v>
      </c>
      <c r="Q32" s="22"/>
      <c r="R32" s="31">
        <f t="shared" ref="R32:R43" si="16">IF(P$12=0,0,P32/P$12)</f>
        <v>7.0495575737268293E-2</v>
      </c>
      <c r="S32" s="22"/>
      <c r="T32" s="22">
        <f>SUM(OSRRefT22x_0)</f>
        <v>34638.963345957498</v>
      </c>
      <c r="U32" s="22"/>
      <c r="V32" s="31">
        <f t="shared" ref="V32:V43" si="17">IF(T$12=0,0,T32/T$12)</f>
        <v>5.2973685705481804E-2</v>
      </c>
      <c r="W32" s="4"/>
      <c r="X32" s="22">
        <f t="shared" ref="X32:X43" si="18">+P32-T32</f>
        <v>-3713.9733459574963</v>
      </c>
      <c r="Y32" s="4"/>
      <c r="Z32" s="31">
        <f t="shared" ref="Z32:Z43" si="19">IF(T32=0,0,X32/T32)</f>
        <v>-0.10721952931628168</v>
      </c>
    </row>
    <row r="33" spans="1:26" s="28" customFormat="1" outlineLevel="1" collapsed="1" x14ac:dyDescent="0.3">
      <c r="A33" s="29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999.63</v>
      </c>
      <c r="E33" s="1"/>
      <c r="F33" s="5">
        <f t="shared" si="12"/>
        <v>2.9112025133442854E-3</v>
      </c>
      <c r="G33" s="1"/>
      <c r="H33" s="1">
        <f>SUM(OSRRefH22_0x_0)</f>
        <v>3080.6564348700003</v>
      </c>
      <c r="I33" s="1"/>
      <c r="J33" s="5">
        <f t="shared" si="13"/>
        <v>8.1902509853324732E-3</v>
      </c>
      <c r="K33" s="1"/>
      <c r="L33" s="1">
        <f t="shared" si="14"/>
        <v>-2081.0264348700002</v>
      </c>
      <c r="M33" s="1"/>
      <c r="N33" s="5">
        <f t="shared" si="15"/>
        <v>-0.6755139623214157</v>
      </c>
      <c r="O33" s="14"/>
      <c r="P33" s="1">
        <f>SUM(OSRRefP22_0x_0)</f>
        <v>3159.23</v>
      </c>
      <c r="Q33" s="1"/>
      <c r="R33" s="5">
        <f t="shared" si="16"/>
        <v>7.2016753355926737E-3</v>
      </c>
      <c r="S33" s="1"/>
      <c r="T33" s="1">
        <f>SUM(OSRRefT22_0x_0)</f>
        <v>6398.4746084574999</v>
      </c>
      <c r="U33" s="1"/>
      <c r="V33" s="5">
        <f t="shared" si="17"/>
        <v>9.7852461552516475E-3</v>
      </c>
      <c r="W33" s="1"/>
      <c r="X33" s="1">
        <f t="shared" si="18"/>
        <v>-3239.2446084574999</v>
      </c>
      <c r="Y33" s="1"/>
      <c r="Z33" s="5">
        <f t="shared" si="19"/>
        <v>-0.50625263155313116</v>
      </c>
    </row>
    <row r="34" spans="1:26" s="24" customFormat="1" hidden="1" outlineLevel="2" x14ac:dyDescent="0.3">
      <c r="A34" s="27"/>
      <c r="B34" s="11" t="str">
        <f>CONCATENATE("          ", "6111", " - ", "F.I.C.A.")</f>
        <v xml:space="preserve">          6111 - F.I.C.A.</v>
      </c>
      <c r="C34" s="11"/>
      <c r="D34" s="6">
        <v>406.68</v>
      </c>
      <c r="E34" s="2"/>
      <c r="F34" s="7">
        <f t="shared" si="12"/>
        <v>1.1843660535666737E-3</v>
      </c>
      <c r="G34" s="2"/>
      <c r="H34" s="6">
        <v>902.77611956999999</v>
      </c>
      <c r="I34" s="2"/>
      <c r="J34" s="7">
        <f t="shared" si="13"/>
        <v>2.4001258040820231E-3</v>
      </c>
      <c r="K34" s="2"/>
      <c r="L34" s="6">
        <f t="shared" si="14"/>
        <v>-496.09611956999998</v>
      </c>
      <c r="M34" s="2"/>
      <c r="N34" s="7">
        <f t="shared" si="15"/>
        <v>-0.54952286487849811</v>
      </c>
      <c r="O34" s="11"/>
      <c r="P34" s="6">
        <v>1060.24</v>
      </c>
      <c r="Q34" s="2"/>
      <c r="R34" s="7">
        <f t="shared" si="16"/>
        <v>2.416887740939652E-3</v>
      </c>
      <c r="S34" s="2"/>
      <c r="T34" s="6">
        <v>1807.8551990325</v>
      </c>
      <c r="U34" s="2"/>
      <c r="V34" s="7">
        <f t="shared" si="17"/>
        <v>2.7647696080877518E-3</v>
      </c>
      <c r="W34" s="2"/>
      <c r="X34" s="6">
        <f t="shared" si="18"/>
        <v>-747.61519903249996</v>
      </c>
      <c r="Y34" s="2"/>
      <c r="Z34" s="7">
        <f t="shared" si="19"/>
        <v>-0.41353710155138373</v>
      </c>
    </row>
    <row r="35" spans="1:26" s="24" customFormat="1" hidden="1" outlineLevel="2" x14ac:dyDescent="0.3">
      <c r="A35" s="27"/>
      <c r="B35" s="11" t="str">
        <f>CONCATENATE("          ", "6112", " - ", "COMPENSATION INSURANCE")</f>
        <v xml:space="preserve">          6112 - COMPENSATION INSURANCE</v>
      </c>
      <c r="C35" s="11"/>
      <c r="D35" s="6">
        <v>112.83</v>
      </c>
      <c r="E35" s="2"/>
      <c r="F35" s="7">
        <f t="shared" si="12"/>
        <v>3.2859255882740189E-4</v>
      </c>
      <c r="G35" s="2"/>
      <c r="H35" s="6">
        <v>184.02335640000001</v>
      </c>
      <c r="I35" s="2"/>
      <c r="J35" s="7">
        <f t="shared" si="13"/>
        <v>4.8924555786854262E-4</v>
      </c>
      <c r="K35" s="2"/>
      <c r="L35" s="6">
        <f t="shared" si="14"/>
        <v>-71.193356400000013</v>
      </c>
      <c r="M35" s="2"/>
      <c r="N35" s="7">
        <f t="shared" si="15"/>
        <v>-0.38687130695112137</v>
      </c>
      <c r="O35" s="11"/>
      <c r="P35" s="6">
        <v>290.19</v>
      </c>
      <c r="Q35" s="2"/>
      <c r="R35" s="7">
        <f t="shared" si="16"/>
        <v>6.6150744505326863E-4</v>
      </c>
      <c r="S35" s="2"/>
      <c r="T35" s="6">
        <v>368.51615190000001</v>
      </c>
      <c r="U35" s="2"/>
      <c r="V35" s="7">
        <f t="shared" si="17"/>
        <v>5.6357514551377147E-4</v>
      </c>
      <c r="W35" s="2"/>
      <c r="X35" s="6">
        <f t="shared" si="18"/>
        <v>-78.326151900000013</v>
      </c>
      <c r="Y35" s="2"/>
      <c r="Z35" s="7">
        <f t="shared" si="19"/>
        <v>-0.2125446917215571</v>
      </c>
    </row>
    <row r="36" spans="1:26" s="24" customFormat="1" hidden="1" outlineLevel="2" x14ac:dyDescent="0.3">
      <c r="A36" s="27"/>
      <c r="B36" s="11" t="str">
        <f>CONCATENATE("          ", "6113", " - ", "GROUP INSURANCE")</f>
        <v xml:space="preserve">          6113 - GROUP INSURANCE</v>
      </c>
      <c r="C36" s="11"/>
      <c r="D36" s="6">
        <v>165.65</v>
      </c>
      <c r="E36" s="2"/>
      <c r="F36" s="7">
        <f t="shared" si="12"/>
        <v>4.8241919143631238E-4</v>
      </c>
      <c r="G36" s="2"/>
      <c r="H36" s="6">
        <v>943.5</v>
      </c>
      <c r="I36" s="2"/>
      <c r="J36" s="7">
        <f t="shared" si="13"/>
        <v>2.5083945477312789E-3</v>
      </c>
      <c r="K36" s="2"/>
      <c r="L36" s="6">
        <f t="shared" si="14"/>
        <v>-777.85</v>
      </c>
      <c r="M36" s="2"/>
      <c r="N36" s="7">
        <f t="shared" si="15"/>
        <v>-0.82443031266560685</v>
      </c>
      <c r="O36" s="11"/>
      <c r="P36" s="6">
        <v>993.92</v>
      </c>
      <c r="Q36" s="2"/>
      <c r="R36" s="7">
        <f t="shared" si="16"/>
        <v>2.2657068809653841E-3</v>
      </c>
      <c r="S36" s="2"/>
      <c r="T36" s="6">
        <v>2040</v>
      </c>
      <c r="U36" s="2"/>
      <c r="V36" s="7">
        <f t="shared" si="17"/>
        <v>3.119790790499931E-3</v>
      </c>
      <c r="W36" s="2"/>
      <c r="X36" s="6">
        <f t="shared" si="18"/>
        <v>-1046.08</v>
      </c>
      <c r="Y36" s="2"/>
      <c r="Z36" s="7">
        <f t="shared" si="19"/>
        <v>-0.51278431372549016</v>
      </c>
    </row>
    <row r="37" spans="1:26" s="24" customFormat="1" hidden="1" outlineLevel="2" x14ac:dyDescent="0.3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19.82</v>
      </c>
      <c r="E37" s="2"/>
      <c r="F37" s="7">
        <f t="shared" si="12"/>
        <v>5.7721390729053494E-5</v>
      </c>
      <c r="G37" s="2"/>
      <c r="H37" s="6">
        <v>24.772374899999999</v>
      </c>
      <c r="I37" s="2"/>
      <c r="J37" s="7">
        <f t="shared" si="13"/>
        <v>6.585997894384227E-5</v>
      </c>
      <c r="K37" s="2"/>
      <c r="L37" s="6">
        <f t="shared" si="14"/>
        <v>-4.9523748999999988</v>
      </c>
      <c r="M37" s="2"/>
      <c r="N37" s="7">
        <f t="shared" si="15"/>
        <v>-0.19991522492258096</v>
      </c>
      <c r="O37" s="11"/>
      <c r="P37" s="6">
        <v>50.98</v>
      </c>
      <c r="Q37" s="2"/>
      <c r="R37" s="7">
        <f t="shared" si="16"/>
        <v>1.1621230762195676E-4</v>
      </c>
      <c r="S37" s="2"/>
      <c r="T37" s="6">
        <v>49.607943525000003</v>
      </c>
      <c r="U37" s="2"/>
      <c r="V37" s="7">
        <f t="shared" si="17"/>
        <v>7.5865884973007696E-5</v>
      </c>
      <c r="W37" s="2"/>
      <c r="X37" s="6">
        <f t="shared" si="18"/>
        <v>1.3720564749999937</v>
      </c>
      <c r="Y37" s="2"/>
      <c r="Z37" s="7">
        <f t="shared" si="19"/>
        <v>2.7657999455440913E-2</v>
      </c>
    </row>
    <row r="38" spans="1:26" s="24" customFormat="1" hidden="1" outlineLevel="2" x14ac:dyDescent="0.3">
      <c r="A38" s="27"/>
      <c r="B38" s="11" t="str">
        <f>CONCATENATE("          ", "6115", " - ", "P.E.R.S.")</f>
        <v xml:space="preserve">          6115 - P.E.R.S.</v>
      </c>
      <c r="C38" s="11"/>
      <c r="D38" s="6">
        <v>99.25</v>
      </c>
      <c r="E38" s="2"/>
      <c r="F38" s="7">
        <f t="shared" si="12"/>
        <v>2.8904379565381226E-4</v>
      </c>
      <c r="G38" s="2"/>
      <c r="H38" s="6">
        <v>202.166134</v>
      </c>
      <c r="I38" s="2"/>
      <c r="J38" s="7">
        <f t="shared" si="13"/>
        <v>5.3748005115157507E-4</v>
      </c>
      <c r="K38" s="2"/>
      <c r="L38" s="6">
        <f t="shared" si="14"/>
        <v>-102.916134</v>
      </c>
      <c r="M38" s="2"/>
      <c r="N38" s="7">
        <f t="shared" si="15"/>
        <v>-0.50906713188668884</v>
      </c>
      <c r="O38" s="11"/>
      <c r="P38" s="6">
        <v>233.15</v>
      </c>
      <c r="Q38" s="2"/>
      <c r="R38" s="7">
        <f t="shared" si="16"/>
        <v>5.3148096355549676E-4</v>
      </c>
      <c r="S38" s="2"/>
      <c r="T38" s="6">
        <v>454.87380150000001</v>
      </c>
      <c r="U38" s="2"/>
      <c r="V38" s="7">
        <f t="shared" si="17"/>
        <v>6.9564269448989897E-4</v>
      </c>
      <c r="W38" s="2"/>
      <c r="X38" s="6">
        <f t="shared" si="18"/>
        <v>-221.72380150000001</v>
      </c>
      <c r="Y38" s="2"/>
      <c r="Z38" s="7">
        <f t="shared" si="19"/>
        <v>-0.48744025434931537</v>
      </c>
    </row>
    <row r="39" spans="1:26" s="24" customFormat="1" hidden="1" outlineLevel="2" x14ac:dyDescent="0.3">
      <c r="A39" s="27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7"/>
      <c r="B40" s="11" t="str">
        <f>CONCATENATE("          ", "6117", " - ", "RETIREMENT STAFF HOURLY")</f>
        <v xml:space="preserve">          6117 - RETIREMENT STAFF HOURLY</v>
      </c>
      <c r="C40" s="11"/>
      <c r="D40" s="6">
        <v>60</v>
      </c>
      <c r="E40" s="2"/>
      <c r="F40" s="7">
        <f t="shared" si="12"/>
        <v>1.7473680341792178E-4</v>
      </c>
      <c r="G40" s="2"/>
      <c r="H40" s="6"/>
      <c r="I40" s="2"/>
      <c r="J40" s="7">
        <f t="shared" si="13"/>
        <v>0</v>
      </c>
      <c r="K40" s="2"/>
      <c r="L40" s="6">
        <f t="shared" si="14"/>
        <v>60</v>
      </c>
      <c r="M40" s="2"/>
      <c r="N40" s="7">
        <f t="shared" si="15"/>
        <v>0</v>
      </c>
      <c r="O40" s="11"/>
      <c r="P40" s="6">
        <v>222.7</v>
      </c>
      <c r="Q40" s="2"/>
      <c r="R40" s="7">
        <f t="shared" si="16"/>
        <v>5.0765949210297711E-4</v>
      </c>
      <c r="S40" s="2"/>
      <c r="T40" s="6"/>
      <c r="U40" s="2"/>
      <c r="V40" s="7">
        <f t="shared" si="17"/>
        <v>0</v>
      </c>
      <c r="W40" s="2"/>
      <c r="X40" s="6">
        <f t="shared" si="18"/>
        <v>222.7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"6118", " - ", "VACATION")</f>
        <v xml:space="preserve">          6118 - VACATION</v>
      </c>
      <c r="C41" s="11"/>
      <c r="D41" s="6">
        <v>61.6</v>
      </c>
      <c r="E41" s="2"/>
      <c r="F41" s="7">
        <f t="shared" si="12"/>
        <v>1.7939645150906634E-4</v>
      </c>
      <c r="G41" s="2"/>
      <c r="H41" s="6">
        <v>179.29106999999999</v>
      </c>
      <c r="I41" s="2"/>
      <c r="J41" s="7">
        <f t="shared" si="13"/>
        <v>4.766642739214701E-4</v>
      </c>
      <c r="K41" s="2"/>
      <c r="L41" s="6">
        <f t="shared" si="14"/>
        <v>-117.69107</v>
      </c>
      <c r="M41" s="2"/>
      <c r="N41" s="7">
        <f t="shared" si="15"/>
        <v>-0.65642460608885878</v>
      </c>
      <c r="O41" s="11"/>
      <c r="P41" s="6">
        <v>129.36000000000001</v>
      </c>
      <c r="Q41" s="2"/>
      <c r="R41" s="7">
        <f t="shared" si="16"/>
        <v>2.9488474134908453E-4</v>
      </c>
      <c r="S41" s="2"/>
      <c r="T41" s="6">
        <v>403.40490749999998</v>
      </c>
      <c r="U41" s="2"/>
      <c r="V41" s="7">
        <f t="shared" si="17"/>
        <v>6.1693084081420419E-4</v>
      </c>
      <c r="W41" s="2"/>
      <c r="X41" s="6">
        <f t="shared" si="18"/>
        <v>-274.04490749999997</v>
      </c>
      <c r="Y41" s="2"/>
      <c r="Z41" s="7">
        <f t="shared" si="19"/>
        <v>-0.67932963234960142</v>
      </c>
    </row>
    <row r="42" spans="1:26" s="24" customFormat="1" hidden="1" outlineLevel="2" x14ac:dyDescent="0.3">
      <c r="A42" s="27"/>
      <c r="B42" s="11" t="str">
        <f>CONCATENATE("          ", "6119", " - ", "SICK LEAVE")</f>
        <v xml:space="preserve">          6119 - SICK LEAVE</v>
      </c>
      <c r="C42" s="11"/>
      <c r="D42" s="6">
        <v>73.8</v>
      </c>
      <c r="E42" s="2"/>
      <c r="F42" s="7">
        <f t="shared" si="12"/>
        <v>2.1492626820404377E-4</v>
      </c>
      <c r="G42" s="2"/>
      <c r="H42" s="6">
        <v>294.12738000000002</v>
      </c>
      <c r="I42" s="2"/>
      <c r="J42" s="7">
        <f t="shared" si="13"/>
        <v>7.8196875074773293E-4</v>
      </c>
      <c r="K42" s="2"/>
      <c r="L42" s="6">
        <f t="shared" si="14"/>
        <v>-220.32738000000001</v>
      </c>
      <c r="M42" s="2"/>
      <c r="N42" s="7">
        <f t="shared" si="15"/>
        <v>-0.74908830316987152</v>
      </c>
      <c r="O42" s="11"/>
      <c r="P42" s="6">
        <v>154.97999999999999</v>
      </c>
      <c r="Q42" s="2"/>
      <c r="R42" s="7">
        <f t="shared" si="16"/>
        <v>3.5328723882406554E-4</v>
      </c>
      <c r="S42" s="2"/>
      <c r="T42" s="6">
        <v>574.21660499999996</v>
      </c>
      <c r="U42" s="2"/>
      <c r="V42" s="7">
        <f t="shared" si="17"/>
        <v>8.7815474315251795E-4</v>
      </c>
      <c r="W42" s="2"/>
      <c r="X42" s="6">
        <f t="shared" si="18"/>
        <v>-419.23660499999994</v>
      </c>
      <c r="Y42" s="2"/>
      <c r="Z42" s="7">
        <f t="shared" si="19"/>
        <v>-0.73010184893555974</v>
      </c>
    </row>
    <row r="43" spans="1:26" s="24" customFormat="1" hidden="1" outlineLevel="2" x14ac:dyDescent="0.3">
      <c r="A43" s="27"/>
      <c r="B43" s="11" t="str">
        <f>CONCATENATE("          ", "6156", " - ", "EMPLOYEE MEALS")</f>
        <v xml:space="preserve">          6156 - EMPLOYEE MEALS</v>
      </c>
      <c r="C43" s="11"/>
      <c r="D43" s="6"/>
      <c r="E43" s="2"/>
      <c r="F43" s="7">
        <f t="shared" si="12"/>
        <v>0</v>
      </c>
      <c r="G43" s="2"/>
      <c r="H43" s="6">
        <v>350</v>
      </c>
      <c r="I43" s="2"/>
      <c r="J43" s="7">
        <f t="shared" si="13"/>
        <v>9.3051202088600699E-4</v>
      </c>
      <c r="K43" s="2"/>
      <c r="L43" s="6">
        <f t="shared" si="14"/>
        <v>-350</v>
      </c>
      <c r="M43" s="2"/>
      <c r="N43" s="7">
        <f t="shared" si="15"/>
        <v>-1</v>
      </c>
      <c r="O43" s="11"/>
      <c r="P43" s="6">
        <v>23.71</v>
      </c>
      <c r="Q43" s="2"/>
      <c r="R43" s="7">
        <f t="shared" si="16"/>
        <v>5.4048525180788453E-5</v>
      </c>
      <c r="S43" s="2"/>
      <c r="T43" s="6">
        <v>700</v>
      </c>
      <c r="U43" s="2"/>
      <c r="V43" s="7">
        <f t="shared" si="17"/>
        <v>1.0705164477205647E-3</v>
      </c>
      <c r="W43" s="2"/>
      <c r="X43" s="6">
        <f t="shared" si="18"/>
        <v>-676.29</v>
      </c>
      <c r="Y43" s="2"/>
      <c r="Z43" s="7">
        <f t="shared" si="19"/>
        <v>-0.96612857142857134</v>
      </c>
    </row>
    <row r="44" spans="1:26" s="28" customFormat="1" outlineLevel="1" collapsed="1" x14ac:dyDescent="0.3">
      <c r="A44" s="29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9364.9499999999989</v>
      </c>
      <c r="E44" s="1"/>
      <c r="F44" s="5">
        <f t="shared" ref="F44:F54" si="20">IF(D$12=0,0,D44/D$12)</f>
        <v>2.727335711947777E-2</v>
      </c>
      <c r="G44" s="1"/>
      <c r="H44" s="1">
        <f>SUM(OSRRefH22_1x_0)</f>
        <v>11497.55055</v>
      </c>
      <c r="I44" s="1"/>
      <c r="J44" s="5">
        <f t="shared" ref="J44:J54" si="21">IF(H$12=0,0,H44/H$12)</f>
        <v>3.0567454278627202E-2</v>
      </c>
      <c r="K44" s="1"/>
      <c r="L44" s="1">
        <f t="shared" ref="L44:L54" si="22">+D44-H44</f>
        <v>-2132.600550000001</v>
      </c>
      <c r="M44" s="1"/>
      <c r="N44" s="5">
        <f t="shared" ref="N44:N54" si="23">IF(H44=0,0,L44/H44)</f>
        <v>-0.18548303316657311</v>
      </c>
      <c r="O44" s="14"/>
      <c r="P44" s="1">
        <f>SUM(OSRRefP22_1x_0)</f>
        <v>19875.87</v>
      </c>
      <c r="Q44" s="1"/>
      <c r="R44" s="5">
        <f t="shared" ref="R44:R54" si="24">IF(P$12=0,0,P44/P$12)</f>
        <v>4.5308370315692854E-2</v>
      </c>
      <c r="S44" s="1"/>
      <c r="T44" s="1">
        <f>SUM(OSRRefT22_1x_0)</f>
        <v>22950.4887375</v>
      </c>
      <c r="U44" s="1"/>
      <c r="V44" s="5">
        <f t="shared" ref="V44:V54" si="25">IF(T$12=0,0,T44/T$12)</f>
        <v>3.5098393823884751E-2</v>
      </c>
      <c r="W44" s="1"/>
      <c r="X44" s="1">
        <f t="shared" ref="X44:X54" si="26">+P44-T44</f>
        <v>-3074.6187375000009</v>
      </c>
      <c r="Y44" s="1"/>
      <c r="Z44" s="5">
        <f t="shared" ref="Z44:Z54" si="27">IF(T44=0,0,X44/T44)</f>
        <v>-0.1339674624216704</v>
      </c>
    </row>
    <row r="45" spans="1:26" s="24" customFormat="1" hidden="1" outlineLevel="2" x14ac:dyDescent="0.3">
      <c r="A45" s="27"/>
      <c r="B45" s="11" t="str">
        <f>CONCATENATE("          ", "6001", " - ", "ADMINISTRATIVE SALARIES")</f>
        <v xml:space="preserve">          6001 - ADMINISTRATIVE SALARIES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"6002", " - ", "STAFF SALARIES")</f>
        <v xml:space="preserve">          6002 - STAFF SALARIES</v>
      </c>
      <c r="C46" s="11"/>
      <c r="D46" s="6">
        <v>980.7</v>
      </c>
      <c r="E46" s="2"/>
      <c r="F46" s="7">
        <f t="shared" si="20"/>
        <v>2.8560730518659315E-3</v>
      </c>
      <c r="G46" s="2"/>
      <c r="H46" s="6">
        <v>2233.2305500000002</v>
      </c>
      <c r="I46" s="2"/>
      <c r="J46" s="7">
        <f t="shared" si="21"/>
        <v>5.9372796348139117E-3</v>
      </c>
      <c r="K46" s="2"/>
      <c r="L46" s="6">
        <f t="shared" si="22"/>
        <v>-1252.5305500000002</v>
      </c>
      <c r="M46" s="2"/>
      <c r="N46" s="7">
        <f t="shared" si="23"/>
        <v>-0.56086038676123251</v>
      </c>
      <c r="O46" s="11"/>
      <c r="P46" s="6">
        <v>6094.62</v>
      </c>
      <c r="Q46" s="2"/>
      <c r="R46" s="7">
        <f t="shared" si="24"/>
        <v>1.3893092473105731E-2</v>
      </c>
      <c r="S46" s="2"/>
      <c r="T46" s="6">
        <v>5024.7687374999996</v>
      </c>
      <c r="U46" s="2"/>
      <c r="V46" s="7">
        <f t="shared" si="25"/>
        <v>7.6844251135512083E-3</v>
      </c>
      <c r="W46" s="2"/>
      <c r="X46" s="6">
        <f t="shared" si="26"/>
        <v>1069.8512625000003</v>
      </c>
      <c r="Y46" s="2"/>
      <c r="Z46" s="7">
        <f t="shared" si="27"/>
        <v>0.21291552276140954</v>
      </c>
    </row>
    <row r="47" spans="1:26" s="24" customFormat="1" hidden="1" outlineLevel="2" x14ac:dyDescent="0.3">
      <c r="A47" s="27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3">
      <c r="A48" s="27"/>
      <c r="B48" s="11" t="str">
        <f>CONCATENATE("          ", "6004", " - ", "STAFF HOURLY")</f>
        <v xml:space="preserve">          6004 - STAFF HOURLY</v>
      </c>
      <c r="C48" s="11"/>
      <c r="D48" s="6">
        <v>1109.33</v>
      </c>
      <c r="E48" s="2"/>
      <c r="F48" s="7">
        <f t="shared" si="20"/>
        <v>3.2306796355933858E-3</v>
      </c>
      <c r="G48" s="2"/>
      <c r="H48" s="6">
        <v>3444.32</v>
      </c>
      <c r="I48" s="2"/>
      <c r="J48" s="7">
        <f t="shared" si="21"/>
        <v>9.157089039365976E-3</v>
      </c>
      <c r="K48" s="2"/>
      <c r="L48" s="6">
        <f t="shared" si="22"/>
        <v>-2334.9900000000002</v>
      </c>
      <c r="M48" s="2"/>
      <c r="N48" s="7">
        <f t="shared" si="23"/>
        <v>-0.67792481534816751</v>
      </c>
      <c r="O48" s="11"/>
      <c r="P48" s="6">
        <v>1719.83</v>
      </c>
      <c r="Q48" s="2"/>
      <c r="R48" s="7">
        <f t="shared" si="24"/>
        <v>3.9204671050896414E-3</v>
      </c>
      <c r="S48" s="2"/>
      <c r="T48" s="6">
        <v>7749.72</v>
      </c>
      <c r="U48" s="2"/>
      <c r="V48" s="7">
        <f t="shared" si="25"/>
        <v>1.1851718178898591E-2</v>
      </c>
      <c r="W48" s="2"/>
      <c r="X48" s="6">
        <f t="shared" si="26"/>
        <v>-6029.89</v>
      </c>
      <c r="Y48" s="2"/>
      <c r="Z48" s="7">
        <f t="shared" si="27"/>
        <v>-0.77807843380147934</v>
      </c>
    </row>
    <row r="49" spans="1:26" s="24" customFormat="1" hidden="1" outlineLevel="2" x14ac:dyDescent="0.3">
      <c r="A49" s="27"/>
      <c r="B49" s="11" t="str">
        <f>CONCATENATE("          ", "6005", " - ", "TEMPORARY WAGES-HOURLY")</f>
        <v xml:space="preserve">          6005 - TEMPORARY WAGES-HOURLY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4" customFormat="1" hidden="1" outlineLevel="2" x14ac:dyDescent="0.3">
      <c r="A50" s="27"/>
      <c r="B50" s="11" t="str">
        <f>CONCATENATE("          ", "6006", " - ", "TEMPORARY PART TIME")</f>
        <v xml:space="preserve">          6006 - TEMPORARY PART TIME</v>
      </c>
      <c r="C50" s="11"/>
      <c r="D50" s="6"/>
      <c r="E50" s="2"/>
      <c r="F50" s="7">
        <f t="shared" si="20"/>
        <v>0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0</v>
      </c>
      <c r="M50" s="2"/>
      <c r="N50" s="7">
        <f t="shared" si="23"/>
        <v>0</v>
      </c>
      <c r="O50" s="11"/>
      <c r="P50" s="6"/>
      <c r="Q50" s="2"/>
      <c r="R50" s="7">
        <f t="shared" si="24"/>
        <v>0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0</v>
      </c>
      <c r="Y50" s="2"/>
      <c r="Z50" s="7">
        <f t="shared" si="27"/>
        <v>0</v>
      </c>
    </row>
    <row r="51" spans="1:26" s="24" customFormat="1" hidden="1" outlineLevel="2" x14ac:dyDescent="0.3">
      <c r="A51" s="27"/>
      <c r="B51" s="11" t="str">
        <f>CONCATENATE("          ", "6007", " - ", "STUDENT HOURLY")</f>
        <v xml:space="preserve">          6007 - STUDENT HOURLY</v>
      </c>
      <c r="C51" s="11"/>
      <c r="D51" s="6">
        <v>6117.37</v>
      </c>
      <c r="E51" s="2"/>
      <c r="F51" s="7">
        <f t="shared" si="20"/>
        <v>1.7815494652078202E-2</v>
      </c>
      <c r="G51" s="2"/>
      <c r="H51" s="6">
        <v>5820</v>
      </c>
      <c r="I51" s="2"/>
      <c r="J51" s="7">
        <f t="shared" si="21"/>
        <v>1.5473085604447316E-2</v>
      </c>
      <c r="K51" s="2"/>
      <c r="L51" s="6">
        <f t="shared" si="22"/>
        <v>297.36999999999989</v>
      </c>
      <c r="M51" s="2"/>
      <c r="N51" s="7">
        <f t="shared" si="23"/>
        <v>5.1094501718213038E-2</v>
      </c>
      <c r="O51" s="11"/>
      <c r="P51" s="6">
        <v>10903.87</v>
      </c>
      <c r="Q51" s="2"/>
      <c r="R51" s="7">
        <f t="shared" si="24"/>
        <v>2.4856098366218632E-2</v>
      </c>
      <c r="S51" s="2"/>
      <c r="T51" s="6">
        <v>10176</v>
      </c>
      <c r="U51" s="2"/>
      <c r="V51" s="7">
        <f t="shared" si="25"/>
        <v>1.5562250531434951E-2</v>
      </c>
      <c r="W51" s="2"/>
      <c r="X51" s="6">
        <f t="shared" si="26"/>
        <v>727.8700000000008</v>
      </c>
      <c r="Y51" s="2"/>
      <c r="Z51" s="7">
        <f t="shared" si="27"/>
        <v>7.152810534591203E-2</v>
      </c>
    </row>
    <row r="52" spans="1:26" s="24" customFormat="1" hidden="1" outlineLevel="2" x14ac:dyDescent="0.3">
      <c r="A52" s="27"/>
      <c r="B52" s="11" t="str">
        <f>CONCATENATE("          ", "6008", " - ", "STUDENT HOURLY-FICA EXEMPT")</f>
        <v xml:space="preserve">          6008 - STUDENT HOURLY-FICA EXEMPT</v>
      </c>
      <c r="C52" s="11"/>
      <c r="D52" s="6">
        <v>1157.55</v>
      </c>
      <c r="E52" s="2"/>
      <c r="F52" s="7">
        <f t="shared" si="20"/>
        <v>3.3711097799402553E-3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1157.55</v>
      </c>
      <c r="M52" s="2"/>
      <c r="N52" s="7">
        <f t="shared" si="23"/>
        <v>0</v>
      </c>
      <c r="O52" s="11"/>
      <c r="P52" s="6">
        <v>1157.55</v>
      </c>
      <c r="Q52" s="2"/>
      <c r="R52" s="7">
        <f t="shared" si="24"/>
        <v>2.6387123712788558E-3</v>
      </c>
      <c r="S52" s="2"/>
      <c r="T52" s="6">
        <v>0</v>
      </c>
      <c r="U52" s="2"/>
      <c r="V52" s="7">
        <f t="shared" si="25"/>
        <v>0</v>
      </c>
      <c r="W52" s="2"/>
      <c r="X52" s="6">
        <f t="shared" si="26"/>
        <v>1157.55</v>
      </c>
      <c r="Y52" s="2"/>
      <c r="Z52" s="7">
        <f t="shared" si="27"/>
        <v>0</v>
      </c>
    </row>
    <row r="53" spans="1:26" s="24" customFormat="1" hidden="1" outlineLevel="2" x14ac:dyDescent="0.3">
      <c r="A53" s="27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3">
      <c r="A54" s="27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8" customFormat="1" outlineLevel="1" collapsed="1" x14ac:dyDescent="0.3">
      <c r="A55" s="29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39.619999999999997</v>
      </c>
      <c r="E55" s="1"/>
      <c r="F55" s="5">
        <f t="shared" ref="F55:F69" si="28">IF(D$12=0,0,D55/D$12)</f>
        <v>1.1538453585696766E-4</v>
      </c>
      <c r="G55" s="1"/>
      <c r="H55" s="1">
        <f>SUM(OSRRefH22_2x_0)</f>
        <v>200</v>
      </c>
      <c r="I55" s="1"/>
      <c r="J55" s="5">
        <f t="shared" ref="J55:J69" si="29">IF(H$12=0,0,H55/H$12)</f>
        <v>5.3172115479200395E-4</v>
      </c>
      <c r="K55" s="1"/>
      <c r="L55" s="1">
        <f t="shared" ref="L55:L69" si="30">+D55-H55</f>
        <v>-160.38</v>
      </c>
      <c r="M55" s="1"/>
      <c r="N55" s="5">
        <f t="shared" ref="N55:N69" si="31">IF(H55=0,0,L55/H55)</f>
        <v>-0.80189999999999995</v>
      </c>
      <c r="O55" s="14"/>
      <c r="P55" s="1">
        <f>SUM(OSRRefP22_2x_0)</f>
        <v>85.04</v>
      </c>
      <c r="Q55" s="1"/>
      <c r="R55" s="5">
        <f t="shared" ref="R55:R69" si="32">IF(P$12=0,0,P55/P$12)</f>
        <v>1.938543475906474E-4</v>
      </c>
      <c r="S55" s="1"/>
      <c r="T55" s="1">
        <f>SUM(OSRRefT22_2x_0)</f>
        <v>400</v>
      </c>
      <c r="U55" s="1"/>
      <c r="V55" s="5">
        <f t="shared" ref="V55:V69" si="33">IF(T$12=0,0,T55/T$12)</f>
        <v>6.1172368441175123E-4</v>
      </c>
      <c r="W55" s="1"/>
      <c r="X55" s="1">
        <f t="shared" ref="X55:X69" si="34">+P55-T55</f>
        <v>-314.95999999999998</v>
      </c>
      <c r="Y55" s="1"/>
      <c r="Z55" s="5">
        <f t="shared" ref="Z55:Z69" si="35">IF(T55=0,0,X55/T55)</f>
        <v>-0.78739999999999999</v>
      </c>
    </row>
    <row r="56" spans="1:26" s="24" customFormat="1" hidden="1" outlineLevel="2" x14ac:dyDescent="0.3">
      <c r="A56" s="27"/>
      <c r="B56" s="11" t="str">
        <f>CONCATENATE("          ", "6362", " - ", "ADVERTISING EXPENSE")</f>
        <v xml:space="preserve">          6362 - ADVERTISING EXPENSE</v>
      </c>
      <c r="C56" s="11"/>
      <c r="D56" s="6">
        <v>39.619999999999997</v>
      </c>
      <c r="E56" s="2"/>
      <c r="F56" s="7">
        <f t="shared" si="28"/>
        <v>1.1538453585696766E-4</v>
      </c>
      <c r="G56" s="2"/>
      <c r="H56" s="6">
        <v>200</v>
      </c>
      <c r="I56" s="2"/>
      <c r="J56" s="7">
        <f t="shared" si="29"/>
        <v>5.3172115479200395E-4</v>
      </c>
      <c r="K56" s="2"/>
      <c r="L56" s="6">
        <f t="shared" si="30"/>
        <v>-160.38</v>
      </c>
      <c r="M56" s="2"/>
      <c r="N56" s="7">
        <f t="shared" si="31"/>
        <v>-0.80189999999999995</v>
      </c>
      <c r="O56" s="11"/>
      <c r="P56" s="6">
        <v>85.04</v>
      </c>
      <c r="Q56" s="2"/>
      <c r="R56" s="7">
        <f t="shared" si="32"/>
        <v>1.938543475906474E-4</v>
      </c>
      <c r="S56" s="2"/>
      <c r="T56" s="6">
        <v>400</v>
      </c>
      <c r="U56" s="2"/>
      <c r="V56" s="7">
        <f t="shared" si="33"/>
        <v>6.1172368441175123E-4</v>
      </c>
      <c r="W56" s="2"/>
      <c r="X56" s="6">
        <f t="shared" si="34"/>
        <v>-314.95999999999998</v>
      </c>
      <c r="Y56" s="2"/>
      <c r="Z56" s="7">
        <f t="shared" si="35"/>
        <v>-0.78739999999999999</v>
      </c>
    </row>
    <row r="57" spans="1:26" s="28" customFormat="1" outlineLevel="1" collapsed="1" x14ac:dyDescent="0.3">
      <c r="A57" s="29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SUM(OSRRefD22_3x_0)</f>
        <v>280.44</v>
      </c>
      <c r="E57" s="1"/>
      <c r="F57" s="5">
        <f t="shared" si="28"/>
        <v>8.1671981917536636E-4</v>
      </c>
      <c r="G57" s="1"/>
      <c r="H57" s="1">
        <f>SUM(OSRRefH22_3x_0)</f>
        <v>0</v>
      </c>
      <c r="I57" s="1"/>
      <c r="J57" s="5">
        <f t="shared" si="29"/>
        <v>0</v>
      </c>
      <c r="K57" s="1"/>
      <c r="L57" s="1">
        <f t="shared" si="30"/>
        <v>280.44</v>
      </c>
      <c r="M57" s="1"/>
      <c r="N57" s="5">
        <f t="shared" si="31"/>
        <v>0</v>
      </c>
      <c r="O57" s="14"/>
      <c r="P57" s="1">
        <f>SUM(OSRRefP22_3x_0)</f>
        <v>560.88</v>
      </c>
      <c r="Q57" s="1"/>
      <c r="R57" s="5">
        <f t="shared" si="32"/>
        <v>1.2785633405061419E-3</v>
      </c>
      <c r="S57" s="1"/>
      <c r="T57" s="1">
        <f>SUM(OSRRefT22_3x_0)</f>
        <v>0</v>
      </c>
      <c r="U57" s="1"/>
      <c r="V57" s="5">
        <f t="shared" si="33"/>
        <v>0</v>
      </c>
      <c r="W57" s="1"/>
      <c r="X57" s="1">
        <f t="shared" si="34"/>
        <v>560.88</v>
      </c>
      <c r="Y57" s="1"/>
      <c r="Z57" s="5">
        <f t="shared" si="35"/>
        <v>0</v>
      </c>
    </row>
    <row r="58" spans="1:26" s="24" customFormat="1" hidden="1" outlineLevel="2" x14ac:dyDescent="0.3">
      <c r="A58" s="27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280.44</v>
      </c>
      <c r="E58" s="2"/>
      <c r="F58" s="7">
        <f t="shared" si="28"/>
        <v>8.1671981917536636E-4</v>
      </c>
      <c r="G58" s="2"/>
      <c r="H58" s="6"/>
      <c r="I58" s="2"/>
      <c r="J58" s="7">
        <f t="shared" si="29"/>
        <v>0</v>
      </c>
      <c r="K58" s="2"/>
      <c r="L58" s="6">
        <f t="shared" si="30"/>
        <v>280.44</v>
      </c>
      <c r="M58" s="2"/>
      <c r="N58" s="7">
        <f t="shared" si="31"/>
        <v>0</v>
      </c>
      <c r="O58" s="11"/>
      <c r="P58" s="6">
        <v>560.88</v>
      </c>
      <c r="Q58" s="2"/>
      <c r="R58" s="7">
        <f t="shared" si="32"/>
        <v>1.2785633405061419E-3</v>
      </c>
      <c r="S58" s="2"/>
      <c r="T58" s="6"/>
      <c r="U58" s="2"/>
      <c r="V58" s="7">
        <f t="shared" si="33"/>
        <v>0</v>
      </c>
      <c r="W58" s="2"/>
      <c r="X58" s="6">
        <f t="shared" si="34"/>
        <v>560.88</v>
      </c>
      <c r="Y58" s="2"/>
      <c r="Z58" s="7">
        <f t="shared" si="35"/>
        <v>0</v>
      </c>
    </row>
    <row r="59" spans="1:26" s="28" customFormat="1" outlineLevel="1" collapsed="1" x14ac:dyDescent="0.3">
      <c r="A59" s="29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SUM(OSRRefD22_4x_0)</f>
        <v>0</v>
      </c>
      <c r="E59" s="1"/>
      <c r="F59" s="5">
        <f t="shared" si="28"/>
        <v>0</v>
      </c>
      <c r="G59" s="1"/>
      <c r="H59" s="1">
        <f>SUM(OSRRefH22_4x_0)</f>
        <v>20</v>
      </c>
      <c r="I59" s="1"/>
      <c r="J59" s="5">
        <f t="shared" si="29"/>
        <v>5.3172115479200399E-5</v>
      </c>
      <c r="K59" s="1"/>
      <c r="L59" s="1">
        <f t="shared" si="30"/>
        <v>-20</v>
      </c>
      <c r="M59" s="1"/>
      <c r="N59" s="5">
        <f t="shared" si="31"/>
        <v>-1</v>
      </c>
      <c r="O59" s="14"/>
      <c r="P59" s="1">
        <f>SUM(OSRRefP22_4x_0)</f>
        <v>0</v>
      </c>
      <c r="Q59" s="1"/>
      <c r="R59" s="5">
        <f t="shared" si="32"/>
        <v>0</v>
      </c>
      <c r="S59" s="1"/>
      <c r="T59" s="1">
        <f>SUM(OSRRefT22_4x_0)</f>
        <v>40</v>
      </c>
      <c r="U59" s="1"/>
      <c r="V59" s="5">
        <f t="shared" si="33"/>
        <v>6.1172368441175115E-5</v>
      </c>
      <c r="W59" s="1"/>
      <c r="X59" s="1">
        <f t="shared" si="34"/>
        <v>-40</v>
      </c>
      <c r="Y59" s="1"/>
      <c r="Z59" s="5">
        <f t="shared" si="35"/>
        <v>-1</v>
      </c>
    </row>
    <row r="60" spans="1:26" s="24" customFormat="1" hidden="1" outlineLevel="2" x14ac:dyDescent="0.3">
      <c r="A60" s="27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28"/>
        <v>0</v>
      </c>
      <c r="G60" s="2"/>
      <c r="H60" s="6">
        <v>20</v>
      </c>
      <c r="I60" s="2"/>
      <c r="J60" s="7">
        <f t="shared" si="29"/>
        <v>5.3172115479200399E-5</v>
      </c>
      <c r="K60" s="2"/>
      <c r="L60" s="6">
        <f t="shared" si="30"/>
        <v>-20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40</v>
      </c>
      <c r="U60" s="2"/>
      <c r="V60" s="7">
        <f t="shared" si="33"/>
        <v>6.1172368441175115E-5</v>
      </c>
      <c r="W60" s="2"/>
      <c r="X60" s="6">
        <f t="shared" si="34"/>
        <v>-40</v>
      </c>
      <c r="Y60" s="2"/>
      <c r="Z60" s="7">
        <f t="shared" si="35"/>
        <v>-1</v>
      </c>
    </row>
    <row r="61" spans="1:26" s="28" customFormat="1" outlineLevel="1" collapsed="1" x14ac:dyDescent="0.3">
      <c r="A61" s="29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0</v>
      </c>
      <c r="E61" s="1"/>
      <c r="F61" s="5">
        <f t="shared" si="28"/>
        <v>0</v>
      </c>
      <c r="G61" s="1"/>
      <c r="H61" s="1">
        <f>SUM(OSRRefH22_5x_0)</f>
        <v>15</v>
      </c>
      <c r="I61" s="1"/>
      <c r="J61" s="5">
        <f t="shared" si="29"/>
        <v>3.9879086609400298E-5</v>
      </c>
      <c r="K61" s="1"/>
      <c r="L61" s="1">
        <f t="shared" si="30"/>
        <v>-15</v>
      </c>
      <c r="M61" s="1"/>
      <c r="N61" s="5">
        <f t="shared" si="31"/>
        <v>-1</v>
      </c>
      <c r="O61" s="14"/>
      <c r="P61" s="1">
        <f>SUM(OSRRefP22_5x_0)</f>
        <v>93.19</v>
      </c>
      <c r="Q61" s="1"/>
      <c r="R61" s="5">
        <f t="shared" si="32"/>
        <v>2.1243281575696648E-4</v>
      </c>
      <c r="S61" s="1"/>
      <c r="T61" s="1">
        <f>SUM(OSRRefT22_5x_0)</f>
        <v>30</v>
      </c>
      <c r="U61" s="1"/>
      <c r="V61" s="5">
        <f t="shared" si="33"/>
        <v>4.5879276330881339E-5</v>
      </c>
      <c r="W61" s="1"/>
      <c r="X61" s="1">
        <f t="shared" si="34"/>
        <v>63.19</v>
      </c>
      <c r="Y61" s="1"/>
      <c r="Z61" s="5">
        <f t="shared" si="35"/>
        <v>2.1063333333333332</v>
      </c>
    </row>
    <row r="62" spans="1:26" s="24" customFormat="1" hidden="1" outlineLevel="2" x14ac:dyDescent="0.3">
      <c r="A62" s="27"/>
      <c r="B62" s="11" t="str">
        <f>CONCATENATE("          ", "6305", " - ", "FREIGHT OUT")</f>
        <v xml:space="preserve">          6305 - FREIGHT OUT</v>
      </c>
      <c r="C62" s="11"/>
      <c r="D62" s="6"/>
      <c r="E62" s="2"/>
      <c r="F62" s="7">
        <f t="shared" si="28"/>
        <v>0</v>
      </c>
      <c r="G62" s="2"/>
      <c r="H62" s="6">
        <v>15</v>
      </c>
      <c r="I62" s="2"/>
      <c r="J62" s="7">
        <f t="shared" si="29"/>
        <v>3.9879086609400298E-5</v>
      </c>
      <c r="K62" s="2"/>
      <c r="L62" s="6">
        <f t="shared" si="30"/>
        <v>-15</v>
      </c>
      <c r="M62" s="2"/>
      <c r="N62" s="7">
        <f t="shared" si="31"/>
        <v>-1</v>
      </c>
      <c r="O62" s="11"/>
      <c r="P62" s="6">
        <v>93.19</v>
      </c>
      <c r="Q62" s="2"/>
      <c r="R62" s="7">
        <f t="shared" si="32"/>
        <v>2.1243281575696648E-4</v>
      </c>
      <c r="S62" s="2"/>
      <c r="T62" s="6">
        <v>30</v>
      </c>
      <c r="U62" s="2"/>
      <c r="V62" s="7">
        <f t="shared" si="33"/>
        <v>4.5879276330881339E-5</v>
      </c>
      <c r="W62" s="2"/>
      <c r="X62" s="6">
        <f t="shared" si="34"/>
        <v>63.19</v>
      </c>
      <c r="Y62" s="2"/>
      <c r="Z62" s="7">
        <f t="shared" si="35"/>
        <v>2.1063333333333332</v>
      </c>
    </row>
    <row r="63" spans="1:26" s="28" customFormat="1" outlineLevel="1" collapsed="1" x14ac:dyDescent="0.3">
      <c r="A63" s="29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30</v>
      </c>
      <c r="I63" s="1"/>
      <c r="J63" s="5">
        <f t="shared" si="29"/>
        <v>7.9758173218800595E-5</v>
      </c>
      <c r="K63" s="1"/>
      <c r="L63" s="1">
        <f t="shared" si="30"/>
        <v>-30</v>
      </c>
      <c r="M63" s="1"/>
      <c r="N63" s="5">
        <f t="shared" si="31"/>
        <v>-1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60</v>
      </c>
      <c r="U63" s="1"/>
      <c r="V63" s="5">
        <f t="shared" si="33"/>
        <v>9.1758552661762679E-5</v>
      </c>
      <c r="W63" s="1"/>
      <c r="X63" s="1">
        <f t="shared" si="34"/>
        <v>-60</v>
      </c>
      <c r="Y63" s="1"/>
      <c r="Z63" s="5">
        <f t="shared" si="35"/>
        <v>-1</v>
      </c>
    </row>
    <row r="64" spans="1:26" s="24" customFormat="1" hidden="1" outlineLevel="2" x14ac:dyDescent="0.3">
      <c r="A64" s="27"/>
      <c r="B64" s="11" t="str">
        <f>CONCATENATE("          ", "6279", " - ", "GENERAL EXPENSE")</f>
        <v xml:space="preserve">          6279 - GENERAL EXPENSE</v>
      </c>
      <c r="C64" s="11"/>
      <c r="D64" s="6"/>
      <c r="E64" s="2"/>
      <c r="F64" s="7">
        <f t="shared" si="28"/>
        <v>0</v>
      </c>
      <c r="G64" s="2"/>
      <c r="H64" s="6">
        <v>30</v>
      </c>
      <c r="I64" s="2"/>
      <c r="J64" s="7">
        <f t="shared" si="29"/>
        <v>7.9758173218800595E-5</v>
      </c>
      <c r="K64" s="2"/>
      <c r="L64" s="6">
        <f t="shared" si="30"/>
        <v>-30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60</v>
      </c>
      <c r="U64" s="2"/>
      <c r="V64" s="7">
        <f t="shared" si="33"/>
        <v>9.1758552661762679E-5</v>
      </c>
      <c r="W64" s="2"/>
      <c r="X64" s="6">
        <f t="shared" si="34"/>
        <v>-60</v>
      </c>
      <c r="Y64" s="2"/>
      <c r="Z64" s="7">
        <f t="shared" si="35"/>
        <v>-1</v>
      </c>
    </row>
    <row r="65" spans="1:26" s="28" customFormat="1" outlineLevel="1" collapsed="1" x14ac:dyDescent="0.3">
      <c r="A65" s="29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2020</v>
      </c>
      <c r="E65" s="1"/>
      <c r="F65" s="5">
        <f t="shared" si="28"/>
        <v>5.8828057150700332E-3</v>
      </c>
      <c r="G65" s="1"/>
      <c r="H65" s="1">
        <f>SUM(OSRRefH22_7x_0)</f>
        <v>2020</v>
      </c>
      <c r="I65" s="1"/>
      <c r="J65" s="5">
        <f t="shared" si="29"/>
        <v>5.3703836633992403E-3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3490</v>
      </c>
      <c r="Q65" s="1"/>
      <c r="R65" s="5">
        <f t="shared" si="32"/>
        <v>7.9556875951476876E-3</v>
      </c>
      <c r="S65" s="1"/>
      <c r="T65" s="1">
        <f>SUM(OSRRefT22_7x_0)</f>
        <v>3490</v>
      </c>
      <c r="U65" s="1"/>
      <c r="V65" s="5">
        <f t="shared" si="33"/>
        <v>5.3372891464925293E-3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3">
      <c r="A66" s="27"/>
      <c r="B66" s="11" t="str">
        <f>CONCATENATE("          ", "6408", " - ", "INVENTORY ADJUSTMENT")</f>
        <v xml:space="preserve">          6408 - INVENTORY ADJUSTMENT</v>
      </c>
      <c r="C66" s="11"/>
      <c r="D66" s="6">
        <v>2020</v>
      </c>
      <c r="E66" s="2"/>
      <c r="F66" s="7">
        <f t="shared" si="28"/>
        <v>5.8828057150700332E-3</v>
      </c>
      <c r="G66" s="2"/>
      <c r="H66" s="6">
        <v>2020</v>
      </c>
      <c r="I66" s="2"/>
      <c r="J66" s="7">
        <f t="shared" si="29"/>
        <v>5.3703836633992403E-3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3490</v>
      </c>
      <c r="Q66" s="2"/>
      <c r="R66" s="7">
        <f t="shared" si="32"/>
        <v>7.9556875951476876E-3</v>
      </c>
      <c r="S66" s="2"/>
      <c r="T66" s="6">
        <v>3490</v>
      </c>
      <c r="U66" s="2"/>
      <c r="V66" s="7">
        <f t="shared" si="33"/>
        <v>5.3372891464925293E-3</v>
      </c>
      <c r="W66" s="2"/>
      <c r="X66" s="6">
        <f t="shared" si="34"/>
        <v>0</v>
      </c>
      <c r="Y66" s="2"/>
      <c r="Z66" s="7">
        <f t="shared" si="35"/>
        <v>0</v>
      </c>
    </row>
    <row r="67" spans="1:26" s="28" customFormat="1" outlineLevel="1" collapsed="1" x14ac:dyDescent="0.3">
      <c r="A67" s="29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SUM(OSRRefD22_8x_0)</f>
        <v>1167.48</v>
      </c>
      <c r="E67" s="1"/>
      <c r="F67" s="5">
        <f t="shared" si="28"/>
        <v>3.4000287209059216E-3</v>
      </c>
      <c r="G67" s="1"/>
      <c r="H67" s="1">
        <f>SUM(OSRRefH22_8x_0)</f>
        <v>310</v>
      </c>
      <c r="I67" s="1"/>
      <c r="J67" s="5">
        <f t="shared" si="29"/>
        <v>8.2416778992760618E-4</v>
      </c>
      <c r="K67" s="1"/>
      <c r="L67" s="1">
        <f t="shared" si="30"/>
        <v>857.48</v>
      </c>
      <c r="M67" s="1"/>
      <c r="N67" s="5">
        <f t="shared" si="31"/>
        <v>2.7660645161290325</v>
      </c>
      <c r="O67" s="14"/>
      <c r="P67" s="1">
        <f>SUM(OSRRefP22_8x_0)</f>
        <v>3209.2799999999997</v>
      </c>
      <c r="Q67" s="1"/>
      <c r="R67" s="5">
        <f t="shared" si="32"/>
        <v>7.315767646233688E-3</v>
      </c>
      <c r="S67" s="1"/>
      <c r="T67" s="1">
        <f>SUM(OSRRefT22_8x_0)</f>
        <v>620</v>
      </c>
      <c r="U67" s="1"/>
      <c r="V67" s="5">
        <f t="shared" si="33"/>
        <v>9.4817171083821439E-4</v>
      </c>
      <c r="W67" s="1"/>
      <c r="X67" s="1">
        <f t="shared" si="34"/>
        <v>2589.2799999999997</v>
      </c>
      <c r="Y67" s="1"/>
      <c r="Z67" s="5">
        <f t="shared" si="35"/>
        <v>4.1762580645161282</v>
      </c>
    </row>
    <row r="68" spans="1:26" s="24" customFormat="1" hidden="1" outlineLevel="2" x14ac:dyDescent="0.3">
      <c r="A68" s="27"/>
      <c r="B68" s="11" t="str">
        <f>CONCATENATE("          ", "6241", " - ", "OFFICE EXPENSE")</f>
        <v xml:space="preserve">          6241 - OFFICE EXPENSE</v>
      </c>
      <c r="C68" s="11"/>
      <c r="D68" s="6">
        <v>288.48</v>
      </c>
      <c r="E68" s="2"/>
      <c r="F68" s="7">
        <f t="shared" si="28"/>
        <v>8.4013455083336794E-4</v>
      </c>
      <c r="G68" s="2"/>
      <c r="H68" s="6">
        <v>110</v>
      </c>
      <c r="I68" s="2"/>
      <c r="J68" s="7">
        <f t="shared" si="29"/>
        <v>2.9244663513560218E-4</v>
      </c>
      <c r="K68" s="2"/>
      <c r="L68" s="6">
        <f t="shared" si="30"/>
        <v>178.48000000000002</v>
      </c>
      <c r="M68" s="2"/>
      <c r="N68" s="7">
        <f t="shared" si="31"/>
        <v>1.6225454545454547</v>
      </c>
      <c r="O68" s="11"/>
      <c r="P68" s="6">
        <v>297.27999999999997</v>
      </c>
      <c r="Q68" s="2"/>
      <c r="R68" s="7">
        <f t="shared" si="32"/>
        <v>6.7766957257464318E-4</v>
      </c>
      <c r="S68" s="2"/>
      <c r="T68" s="6">
        <v>220</v>
      </c>
      <c r="U68" s="2"/>
      <c r="V68" s="7">
        <f t="shared" si="33"/>
        <v>3.3644802642646316E-4</v>
      </c>
      <c r="W68" s="2"/>
      <c r="X68" s="6">
        <f t="shared" si="34"/>
        <v>77.279999999999973</v>
      </c>
      <c r="Y68" s="2"/>
      <c r="Z68" s="7">
        <f t="shared" si="35"/>
        <v>0.35127272727272713</v>
      </c>
    </row>
    <row r="69" spans="1:26" s="24" customFormat="1" hidden="1" outlineLevel="2" x14ac:dyDescent="0.3">
      <c r="A69" s="27"/>
      <c r="B69" s="11" t="str">
        <f>CONCATENATE("          ", "6247", " - ", "STORE SUPPLIES")</f>
        <v xml:space="preserve">          6247 - STORE SUPPLIES</v>
      </c>
      <c r="C69" s="11"/>
      <c r="D69" s="6">
        <v>879</v>
      </c>
      <c r="E69" s="2"/>
      <c r="F69" s="7">
        <f t="shared" si="28"/>
        <v>2.5598941700725538E-3</v>
      </c>
      <c r="G69" s="2"/>
      <c r="H69" s="6">
        <v>200</v>
      </c>
      <c r="I69" s="2"/>
      <c r="J69" s="7">
        <f t="shared" si="29"/>
        <v>5.3172115479200395E-4</v>
      </c>
      <c r="K69" s="2"/>
      <c r="L69" s="6">
        <f t="shared" si="30"/>
        <v>679</v>
      </c>
      <c r="M69" s="2"/>
      <c r="N69" s="7">
        <f t="shared" si="31"/>
        <v>3.395</v>
      </c>
      <c r="O69" s="11"/>
      <c r="P69" s="6">
        <v>2912</v>
      </c>
      <c r="Q69" s="2"/>
      <c r="R69" s="7">
        <f t="shared" si="32"/>
        <v>6.6380980736590453E-3</v>
      </c>
      <c r="S69" s="2"/>
      <c r="T69" s="6">
        <v>400</v>
      </c>
      <c r="U69" s="2"/>
      <c r="V69" s="7">
        <f t="shared" si="33"/>
        <v>6.1172368441175123E-4</v>
      </c>
      <c r="W69" s="2"/>
      <c r="X69" s="6">
        <f t="shared" si="34"/>
        <v>2512</v>
      </c>
      <c r="Y69" s="2"/>
      <c r="Z69" s="7">
        <f t="shared" si="35"/>
        <v>6.28</v>
      </c>
    </row>
    <row r="70" spans="1:26" s="28" customFormat="1" outlineLevel="1" collapsed="1" x14ac:dyDescent="0.3">
      <c r="A70" s="29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SUM(OSRRefD22_9x_0)</f>
        <v>168.2</v>
      </c>
      <c r="E70" s="1"/>
      <c r="F70" s="5">
        <f t="shared" ref="F70:F71" si="36">IF(D$12=0,0,D70/D$12)</f>
        <v>4.8984550558157393E-4</v>
      </c>
      <c r="G70" s="1"/>
      <c r="H70" s="1">
        <f>SUM(OSRRefH22_9x_0)</f>
        <v>325</v>
      </c>
      <c r="I70" s="1"/>
      <c r="J70" s="5">
        <f t="shared" ref="J70:J71" si="37">IF(H$12=0,0,H70/H$12)</f>
        <v>8.6404687653700643E-4</v>
      </c>
      <c r="K70" s="1"/>
      <c r="L70" s="1">
        <f t="shared" ref="L70:L71" si="38">+D70-H70</f>
        <v>-156.80000000000001</v>
      </c>
      <c r="M70" s="1"/>
      <c r="N70" s="5">
        <f t="shared" ref="N70:N71" si="39">IF(H70=0,0,L70/H70)</f>
        <v>-0.4824615384615385</v>
      </c>
      <c r="O70" s="14"/>
      <c r="P70" s="1">
        <f>SUM(OSRRefP22_9x_0)</f>
        <v>451.5</v>
      </c>
      <c r="Q70" s="1"/>
      <c r="R70" s="5">
        <f t="shared" ref="R70:R71" si="40">IF(P$12=0,0,P70/P$12)</f>
        <v>1.0292243407476163E-3</v>
      </c>
      <c r="S70" s="1"/>
      <c r="T70" s="1">
        <f>SUM(OSRRefT22_9x_0)</f>
        <v>650</v>
      </c>
      <c r="U70" s="1"/>
      <c r="V70" s="5">
        <f t="shared" ref="V70:V71" si="41">IF(T$12=0,0,T70/T$12)</f>
        <v>9.9405098716909561E-4</v>
      </c>
      <c r="W70" s="1"/>
      <c r="X70" s="1">
        <f t="shared" ref="X70:X71" si="42">+P70-T70</f>
        <v>-198.5</v>
      </c>
      <c r="Y70" s="1"/>
      <c r="Z70" s="5">
        <f t="shared" ref="Z70:Z71" si="43">IF(T70=0,0,X70/T70)</f>
        <v>-0.30538461538461537</v>
      </c>
    </row>
    <row r="71" spans="1:26" s="24" customFormat="1" hidden="1" outlineLevel="2" x14ac:dyDescent="0.3">
      <c r="A71" s="27"/>
      <c r="B71" s="11" t="str">
        <f>CONCATENATE("          ", "6309", " - ", "TELEPHONE")</f>
        <v xml:space="preserve">          6309 - TELEPHONE</v>
      </c>
      <c r="C71" s="11"/>
      <c r="D71" s="6">
        <v>168.2</v>
      </c>
      <c r="E71" s="2"/>
      <c r="F71" s="7">
        <f t="shared" si="36"/>
        <v>4.8984550558157393E-4</v>
      </c>
      <c r="G71" s="2"/>
      <c r="H71" s="6">
        <v>325</v>
      </c>
      <c r="I71" s="2"/>
      <c r="J71" s="7">
        <f t="shared" si="37"/>
        <v>8.6404687653700643E-4</v>
      </c>
      <c r="K71" s="2"/>
      <c r="L71" s="6">
        <f t="shared" si="38"/>
        <v>-156.80000000000001</v>
      </c>
      <c r="M71" s="2"/>
      <c r="N71" s="7">
        <f t="shared" si="39"/>
        <v>-0.4824615384615385</v>
      </c>
      <c r="O71" s="11"/>
      <c r="P71" s="6">
        <v>451.5</v>
      </c>
      <c r="Q71" s="2"/>
      <c r="R71" s="7">
        <f t="shared" si="40"/>
        <v>1.0292243407476163E-3</v>
      </c>
      <c r="S71" s="2"/>
      <c r="T71" s="6">
        <v>650</v>
      </c>
      <c r="U71" s="2"/>
      <c r="V71" s="7">
        <f t="shared" si="41"/>
        <v>9.9405098716909561E-4</v>
      </c>
      <c r="W71" s="2"/>
      <c r="X71" s="6">
        <f t="shared" si="42"/>
        <v>-198.5</v>
      </c>
      <c r="Y71" s="2"/>
      <c r="Z71" s="7">
        <f t="shared" si="43"/>
        <v>-0.30538461538461537</v>
      </c>
    </row>
    <row r="72" spans="1:26" s="53" customFormat="1" x14ac:dyDescent="0.3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3">
      <c r="A73" s="10"/>
      <c r="B73" s="25" t="s">
        <v>293</v>
      </c>
      <c r="C73" s="10"/>
      <c r="D73" s="4">
        <f>SUM(OSRRefD25x_0)</f>
        <v>2187.9499999999998</v>
      </c>
      <c r="E73" s="4"/>
      <c r="F73" s="12">
        <f t="shared" ref="F73:F76" si="44">IF(D$12=0,0,D73/D$12)</f>
        <v>6.3719231506373653E-3</v>
      </c>
      <c r="G73" s="4"/>
      <c r="H73" s="4">
        <f>SUM(OSRRefH25x_0)</f>
        <v>3589</v>
      </c>
      <c r="I73" s="4"/>
      <c r="J73" s="12">
        <f t="shared" ref="J73:J76" si="45">IF(H$12=0,0,H73/H$12)</f>
        <v>9.5417361227425109E-3</v>
      </c>
      <c r="K73" s="4"/>
      <c r="L73" s="4">
        <f t="shared" ref="L73:L76" si="46">+D73-H73</f>
        <v>-1401.0500000000002</v>
      </c>
      <c r="M73" s="4"/>
      <c r="N73" s="12">
        <f t="shared" ref="N73:N76" si="47">IF(H73=0,0,L73/H73)</f>
        <v>-0.39037336305377546</v>
      </c>
      <c r="O73" s="10"/>
      <c r="P73" s="4">
        <f>SUM(OSRRefP25x_0)</f>
        <v>2381.33</v>
      </c>
      <c r="Q73" s="4"/>
      <c r="R73" s="12">
        <f t="shared" ref="R73:R76" si="48">IF(P$12=0,0,P73/P$12)</f>
        <v>5.4284004415338233E-3</v>
      </c>
      <c r="S73" s="4"/>
      <c r="T73" s="4">
        <f>SUM(OSRRefT25x_0)</f>
        <v>6240</v>
      </c>
      <c r="U73" s="4"/>
      <c r="V73" s="12">
        <f t="shared" ref="V73:V76" si="49">IF(T$12=0,0,T73/T$12)</f>
        <v>9.5428894768233193E-3</v>
      </c>
      <c r="W73" s="4"/>
      <c r="X73" s="4">
        <f t="shared" ref="X73:X76" si="50">+P73-T73</f>
        <v>-3858.67</v>
      </c>
      <c r="Y73" s="4"/>
      <c r="Z73" s="12">
        <f t="shared" ref="Z73:Z76" si="51">IF(T73=0,0,X73/T73)</f>
        <v>-0.61837660256410254</v>
      </c>
    </row>
    <row r="74" spans="1:26" s="24" customFormat="1" hidden="1" outlineLevel="1" x14ac:dyDescent="0.3">
      <c r="A74" s="44"/>
      <c r="B74" s="11" t="str">
        <f>CONCATENATE("          ", "4187", " - ", "NON-TAXABLE SALES-COMPUTER REP")</f>
        <v xml:space="preserve">          4187 - NON-TAXABLE SALES-COMPUTER REP</v>
      </c>
      <c r="C74" s="11"/>
      <c r="D74" s="2">
        <f>0</f>
        <v>0</v>
      </c>
      <c r="E74" s="2"/>
      <c r="F74" s="19">
        <f t="shared" si="44"/>
        <v>0</v>
      </c>
      <c r="G74" s="2"/>
      <c r="H74" s="2"/>
      <c r="I74" s="2"/>
      <c r="J74" s="19">
        <f t="shared" si="45"/>
        <v>0</v>
      </c>
      <c r="K74" s="2"/>
      <c r="L74" s="2">
        <f t="shared" si="46"/>
        <v>0</v>
      </c>
      <c r="M74" s="2"/>
      <c r="N74" s="19">
        <f t="shared" si="47"/>
        <v>0</v>
      </c>
      <c r="O74" s="11"/>
      <c r="P74" s="2">
        <f>0</f>
        <v>0</v>
      </c>
      <c r="Q74" s="2"/>
      <c r="R74" s="19">
        <f t="shared" si="48"/>
        <v>0</v>
      </c>
      <c r="S74" s="2"/>
      <c r="T74" s="2"/>
      <c r="U74" s="2"/>
      <c r="V74" s="19">
        <f t="shared" si="49"/>
        <v>0</v>
      </c>
      <c r="W74" s="2"/>
      <c r="X74" s="2">
        <f t="shared" si="50"/>
        <v>0</v>
      </c>
      <c r="Y74" s="2"/>
      <c r="Z74" s="19">
        <f t="shared" si="51"/>
        <v>0</v>
      </c>
    </row>
    <row r="75" spans="1:26" s="24" customFormat="1" hidden="1" outlineLevel="1" x14ac:dyDescent="0.3">
      <c r="A75" s="44"/>
      <c r="B75" s="11" t="str">
        <f>CONCATENATE("          ", "9087", " - ", "")</f>
        <v xml:space="preserve">          9087 - </v>
      </c>
      <c r="C75" s="11"/>
      <c r="D75" s="2">
        <f>--946.54</f>
        <v>946.54</v>
      </c>
      <c r="E75" s="2"/>
      <c r="F75" s="19">
        <f t="shared" si="44"/>
        <v>2.7565895651199945E-3</v>
      </c>
      <c r="G75" s="2"/>
      <c r="H75" s="2"/>
      <c r="I75" s="2"/>
      <c r="J75" s="19">
        <f t="shared" si="45"/>
        <v>0</v>
      </c>
      <c r="K75" s="2"/>
      <c r="L75" s="2">
        <f t="shared" si="46"/>
        <v>946.54</v>
      </c>
      <c r="M75" s="2"/>
      <c r="N75" s="19">
        <f t="shared" si="47"/>
        <v>0</v>
      </c>
      <c r="O75" s="11"/>
      <c r="P75" s="2">
        <f>--1020.01</f>
        <v>1020.01</v>
      </c>
      <c r="Q75" s="2"/>
      <c r="R75" s="19">
        <f t="shared" si="48"/>
        <v>2.3251807747640667E-3</v>
      </c>
      <c r="S75" s="2"/>
      <c r="T75" s="2"/>
      <c r="U75" s="2"/>
      <c r="V75" s="19">
        <f t="shared" si="49"/>
        <v>0</v>
      </c>
      <c r="W75" s="2"/>
      <c r="X75" s="2">
        <f t="shared" si="50"/>
        <v>1020.01</v>
      </c>
      <c r="Y75" s="2"/>
      <c r="Z75" s="19">
        <f t="shared" si="51"/>
        <v>0</v>
      </c>
    </row>
    <row r="76" spans="1:26" s="24" customFormat="1" hidden="1" outlineLevel="1" x14ac:dyDescent="0.3">
      <c r="A76" s="44"/>
      <c r="B76" s="11" t="str">
        <f>CONCATENATE("          ", "9150", " - ", "MISC. INCOME")</f>
        <v xml:space="preserve">          9150 - MISC. INCOME</v>
      </c>
      <c r="C76" s="11"/>
      <c r="D76" s="2">
        <f>--1241.41</f>
        <v>1241.4100000000001</v>
      </c>
      <c r="E76" s="2"/>
      <c r="F76" s="19">
        <f t="shared" si="44"/>
        <v>3.6153335855173712E-3</v>
      </c>
      <c r="G76" s="2"/>
      <c r="H76" s="2">
        <v>3589</v>
      </c>
      <c r="I76" s="2"/>
      <c r="J76" s="19">
        <f t="shared" si="45"/>
        <v>9.5417361227425109E-3</v>
      </c>
      <c r="K76" s="2"/>
      <c r="L76" s="2">
        <f t="shared" si="46"/>
        <v>-2347.59</v>
      </c>
      <c r="M76" s="2"/>
      <c r="N76" s="19">
        <f t="shared" si="47"/>
        <v>-0.65410699359152968</v>
      </c>
      <c r="O76" s="11"/>
      <c r="P76" s="2">
        <f>--1361.32</f>
        <v>1361.32</v>
      </c>
      <c r="Q76" s="2"/>
      <c r="R76" s="19">
        <f t="shared" si="48"/>
        <v>3.1032196667697565E-3</v>
      </c>
      <c r="S76" s="2"/>
      <c r="T76" s="2">
        <v>6240</v>
      </c>
      <c r="U76" s="2"/>
      <c r="V76" s="19">
        <f t="shared" si="49"/>
        <v>9.5428894768233193E-3</v>
      </c>
      <c r="W76" s="2"/>
      <c r="X76" s="2">
        <f t="shared" si="50"/>
        <v>-4878.68</v>
      </c>
      <c r="Y76" s="2"/>
      <c r="Z76" s="19">
        <f t="shared" si="51"/>
        <v>-0.78183974358974362</v>
      </c>
    </row>
    <row r="77" spans="1:26" x14ac:dyDescent="0.3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3">
      <c r="A78" s="10"/>
      <c r="B78" s="26" t="s">
        <v>277</v>
      </c>
      <c r="C78" s="26"/>
      <c r="D78" s="21">
        <f>+D30-D32+D73</f>
        <v>39728.07</v>
      </c>
      <c r="E78" s="13"/>
      <c r="F78" s="20">
        <f>IF(D$12=0,0,D78/D$12)</f>
        <v>0.11569926596272392</v>
      </c>
      <c r="G78" s="13"/>
      <c r="H78" s="21">
        <f>+H30-H32+H73</f>
        <v>25585.793015129999</v>
      </c>
      <c r="I78" s="13"/>
      <c r="J78" s="20">
        <f>IF(H$12=0,0,H78/H$12)</f>
        <v>6.8022537041370568E-2</v>
      </c>
      <c r="K78" s="16"/>
      <c r="L78" s="21">
        <f>+D78-H78</f>
        <v>14142.276984870001</v>
      </c>
      <c r="M78" s="16"/>
      <c r="N78" s="20">
        <f>IF(H78=0,0,L78/H78)</f>
        <v>0.55273944319439516</v>
      </c>
      <c r="O78" s="25"/>
      <c r="P78" s="21">
        <f>+P30-P32+P73</f>
        <v>35971.609999999957</v>
      </c>
      <c r="Q78" s="13"/>
      <c r="R78" s="20">
        <f>IF(P$12=0,0,P78/P$12)</f>
        <v>8.1999682365183429E-2</v>
      </c>
      <c r="S78" s="13"/>
      <c r="T78" s="21">
        <f>+T30-T32+T73</f>
        <v>40260.036654042502</v>
      </c>
      <c r="U78" s="13"/>
      <c r="V78" s="20">
        <f>IF(T$12=0,0,T78/T$12)</f>
        <v>6.1570044891407577E-2</v>
      </c>
      <c r="W78" s="16"/>
      <c r="X78" s="21">
        <f>+P78-T78</f>
        <v>-4288.4266540425451</v>
      </c>
      <c r="Y78" s="16"/>
      <c r="Z78" s="20">
        <f>IF(T78=0,0,X78/T78)</f>
        <v>-0.10651820044013659</v>
      </c>
    </row>
    <row r="79" spans="1:26" x14ac:dyDescent="0.3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">
      <c r="A80" s="52"/>
      <c r="B80" s="10" t="s">
        <v>128</v>
      </c>
      <c r="C80" s="10"/>
      <c r="D80" s="4">
        <v>21522.15</v>
      </c>
      <c r="E80" s="4"/>
      <c r="F80" s="12">
        <f>IF(D$12=0,0,D80/D$12)</f>
        <v>6.2678528228017089E-2</v>
      </c>
      <c r="G80" s="4"/>
      <c r="H80" s="4">
        <v>-27356</v>
      </c>
      <c r="I80" s="4"/>
      <c r="J80" s="12">
        <f>IF(H$12=0,0,H80/H$12)</f>
        <v>-7.2728819552450308E-2</v>
      </c>
      <c r="K80" s="4"/>
      <c r="L80" s="4">
        <f>+D80-H80</f>
        <v>48878.15</v>
      </c>
      <c r="M80" s="4"/>
      <c r="N80" s="12">
        <f>IF(H80=0,0,L80/H80)</f>
        <v>-1.7867433104255008</v>
      </c>
      <c r="O80" s="10"/>
      <c r="P80" s="4">
        <v>65553.27</v>
      </c>
      <c r="Q80" s="4"/>
      <c r="R80" s="12">
        <f>IF(P$12=0,0,P80/P$12)</f>
        <v>0.14943304783964675</v>
      </c>
      <c r="S80" s="4"/>
      <c r="T80" s="4">
        <v>73232</v>
      </c>
      <c r="U80" s="4"/>
      <c r="V80" s="12">
        <f>IF(T$12=0,0,T80/T$12)</f>
        <v>0.11199437214210341</v>
      </c>
      <c r="W80" s="4"/>
      <c r="X80" s="4">
        <f>+P80-T80</f>
        <v>-7678.7299999999959</v>
      </c>
      <c r="Y80" s="4"/>
      <c r="Z80" s="12">
        <f>IF(T80=0,0,X80/T80)</f>
        <v>-0.10485484487655664</v>
      </c>
    </row>
    <row r="81" spans="1:26" x14ac:dyDescent="0.3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126</v>
      </c>
      <c r="C82" s="26"/>
      <c r="D82" s="30">
        <f>+D78-D80</f>
        <v>18205.919999999998</v>
      </c>
      <c r="E82" s="13"/>
      <c r="F82" s="35">
        <f>IF(D$12=0,0,D82/D$12)</f>
        <v>5.3020737734706835E-2</v>
      </c>
      <c r="G82" s="13"/>
      <c r="H82" s="30">
        <f>+H78-H80</f>
        <v>52941.793015129995</v>
      </c>
      <c r="I82" s="13"/>
      <c r="J82" s="35">
        <f>IF(H$12=0,0,H82/H$12)</f>
        <v>0.14075135659382085</v>
      </c>
      <c r="K82" s="16"/>
      <c r="L82" s="30">
        <f>D82-H82</f>
        <v>-34735.873015129997</v>
      </c>
      <c r="M82" s="16"/>
      <c r="N82" s="35">
        <f>IF(H82=0,0,L82/H82)</f>
        <v>-0.65611440483708194</v>
      </c>
      <c r="O82" s="25"/>
      <c r="P82" s="30">
        <f>+P78-P80</f>
        <v>-29581.660000000047</v>
      </c>
      <c r="Q82" s="13"/>
      <c r="R82" s="35">
        <f>IF(P$12=0,0,P82/P$12)</f>
        <v>-6.7433365474463311E-2</v>
      </c>
      <c r="S82" s="13"/>
      <c r="T82" s="30">
        <f>+T78-T80</f>
        <v>-32971.963345957498</v>
      </c>
      <c r="U82" s="13"/>
      <c r="V82" s="35">
        <f>IF(T$12=0,0,T82/T$12)</f>
        <v>-5.042432725069583E-2</v>
      </c>
      <c r="W82" s="16"/>
      <c r="X82" s="30">
        <f>P82-T82</f>
        <v>3390.3033459574508</v>
      </c>
      <c r="Y82" s="16"/>
      <c r="Z82" s="35">
        <f>IF(T82=0,0,X82/T82)</f>
        <v>-0.10282382369483971</v>
      </c>
    </row>
    <row r="83" spans="1:26" ht="15" thickTop="1" x14ac:dyDescent="0.3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6" t="s">
        <v>294</v>
      </c>
      <c r="C85" s="26"/>
      <c r="D85" s="32">
        <f>SUM(D82:D84)</f>
        <v>18205.919999999998</v>
      </c>
      <c r="E85" s="13"/>
      <c r="F85" s="34">
        <f>IF(D$12=0,0,D85/D$12)</f>
        <v>5.3020737734706835E-2</v>
      </c>
      <c r="G85" s="13"/>
      <c r="H85" s="32">
        <f>SUM(H82:H84)</f>
        <v>52941.793015129995</v>
      </c>
      <c r="I85" s="13"/>
      <c r="J85" s="34">
        <f>IF(H$12=0,0,H85/H$12)</f>
        <v>0.14075135659382085</v>
      </c>
      <c r="K85" s="16"/>
      <c r="L85" s="32">
        <f>+D85-H85</f>
        <v>-34735.873015129997</v>
      </c>
      <c r="M85" s="16"/>
      <c r="N85" s="34">
        <f>IF(H85=0,0,L85/H85)</f>
        <v>-0.65611440483708194</v>
      </c>
      <c r="O85" s="25"/>
      <c r="P85" s="32">
        <f>SUM(P82:P84)</f>
        <v>-29581.660000000047</v>
      </c>
      <c r="Q85" s="13"/>
      <c r="R85" s="34">
        <f>IF(P$12=0,0,P85/P$12)</f>
        <v>-6.7433365474463311E-2</v>
      </c>
      <c r="S85" s="13"/>
      <c r="T85" s="32">
        <f>SUM(T82:T84)</f>
        <v>-32971.963345957498</v>
      </c>
      <c r="U85" s="13"/>
      <c r="V85" s="34">
        <f>IF(T$12=0,0,T85/T$12)</f>
        <v>-5.042432725069583E-2</v>
      </c>
      <c r="W85" s="16"/>
      <c r="X85" s="32">
        <f>+P85-T85</f>
        <v>3390.3033459574508</v>
      </c>
      <c r="Y85" s="16"/>
      <c r="Z85" s="34">
        <f>IF(T85=0,0,X85/T85)</f>
        <v>-0.10282382369483971</v>
      </c>
    </row>
    <row r="86" spans="1:26" ht="15" thickTop="1" x14ac:dyDescent="0.3">
      <c r="A86" s="9"/>
      <c r="C86" s="9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">
      <c r="A87" s="9"/>
      <c r="B87" s="61">
        <v>44470.835489849538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3">
      <c r="A88" s="9"/>
      <c r="B88" s="58" t="s">
        <v>56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A89" s="9"/>
      <c r="B89" s="55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","317", " - ", "Computer Store")</f>
        <v>Department 317 - Computer 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343373.57</v>
      </c>
      <c r="E12" s="4"/>
      <c r="F12" s="12"/>
      <c r="G12" s="4"/>
      <c r="H12" s="4">
        <f>SUM(OSRRefH13x_0)</f>
        <v>376137</v>
      </c>
      <c r="I12" s="4"/>
      <c r="J12" s="12"/>
      <c r="K12" s="4"/>
      <c r="L12" s="4">
        <f t="shared" ref="L12:L16" si="0">+D12-H12</f>
        <v>-32763.429999999993</v>
      </c>
      <c r="M12" s="4"/>
      <c r="N12" s="12">
        <f t="shared" ref="N12:N16" si="1">IF(H12=0,0,L12/H12)</f>
        <v>-8.7105044172734916E-2</v>
      </c>
      <c r="O12" s="10"/>
      <c r="P12" s="4">
        <f>SUM(OSRRefP13x_0)</f>
        <v>438679.86999999994</v>
      </c>
      <c r="Q12" s="4"/>
      <c r="R12" s="12"/>
      <c r="S12" s="4"/>
      <c r="T12" s="4">
        <f>SUM(OSRRefT13x_0)</f>
        <v>653890</v>
      </c>
      <c r="U12" s="4"/>
      <c r="V12" s="12"/>
      <c r="W12" s="4"/>
      <c r="X12" s="4">
        <f t="shared" ref="X12:X16" si="2">+P12-T12</f>
        <v>-215210.13000000006</v>
      </c>
      <c r="Y12" s="4"/>
      <c r="Z12" s="12">
        <f t="shared" ref="Z12:Z16" si="3">IF(T12=0,0,X12/T12)</f>
        <v>-0.32912283411582999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--300209.47</f>
        <v>300209.46999999997</v>
      </c>
      <c r="E13" s="2"/>
      <c r="F13" s="19"/>
      <c r="G13" s="2"/>
      <c r="H13" s="2">
        <v>356294</v>
      </c>
      <c r="I13" s="2"/>
      <c r="J13" s="19"/>
      <c r="K13" s="2"/>
      <c r="L13" s="2">
        <f t="shared" si="0"/>
        <v>-56084.530000000028</v>
      </c>
      <c r="M13" s="2"/>
      <c r="N13" s="19">
        <f t="shared" si="1"/>
        <v>-0.15741081803229925</v>
      </c>
      <c r="O13" s="11"/>
      <c r="P13" s="2">
        <f>--382165.73</f>
        <v>382165.73</v>
      </c>
      <c r="Q13" s="2"/>
      <c r="R13" s="19"/>
      <c r="S13" s="2"/>
      <c r="T13" s="2">
        <v>624271</v>
      </c>
      <c r="U13" s="2"/>
      <c r="V13" s="19"/>
      <c r="W13" s="2"/>
      <c r="X13" s="2">
        <f t="shared" si="2"/>
        <v>-242105.27000000002</v>
      </c>
      <c r="Y13" s="2"/>
      <c r="Z13" s="19">
        <f t="shared" si="3"/>
        <v>-0.38782078616498289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--75809.9</f>
        <v>75809.899999999994</v>
      </c>
      <c r="E14" s="2"/>
      <c r="F14" s="19"/>
      <c r="G14" s="2"/>
      <c r="H14" s="2">
        <v>19843</v>
      </c>
      <c r="I14" s="2"/>
      <c r="J14" s="19"/>
      <c r="K14" s="2"/>
      <c r="L14" s="2">
        <f t="shared" si="0"/>
        <v>55966.899999999994</v>
      </c>
      <c r="M14" s="2"/>
      <c r="N14" s="19">
        <f t="shared" si="1"/>
        <v>2.8204858136370508</v>
      </c>
      <c r="O14" s="11"/>
      <c r="P14" s="2">
        <f>--116777.88</f>
        <v>116777.88</v>
      </c>
      <c r="Q14" s="2"/>
      <c r="R14" s="19"/>
      <c r="S14" s="2"/>
      <c r="T14" s="2">
        <v>29619</v>
      </c>
      <c r="U14" s="2"/>
      <c r="V14" s="19"/>
      <c r="W14" s="2"/>
      <c r="X14" s="2">
        <f t="shared" si="2"/>
        <v>87158.88</v>
      </c>
      <c r="Y14" s="2"/>
      <c r="Z14" s="19">
        <f t="shared" si="3"/>
        <v>2.9426678821027044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-32397.97</f>
        <v>-32397.97</v>
      </c>
      <c r="E15" s="2"/>
      <c r="F15" s="19"/>
      <c r="G15" s="2"/>
      <c r="H15" s="2"/>
      <c r="I15" s="2"/>
      <c r="J15" s="19"/>
      <c r="K15" s="2"/>
      <c r="L15" s="2">
        <f t="shared" si="0"/>
        <v>-32397.97</v>
      </c>
      <c r="M15" s="2"/>
      <c r="N15" s="19">
        <f t="shared" si="1"/>
        <v>0</v>
      </c>
      <c r="O15" s="11"/>
      <c r="P15" s="2">
        <f>-59616.91</f>
        <v>-59616.91</v>
      </c>
      <c r="Q15" s="2"/>
      <c r="R15" s="19"/>
      <c r="S15" s="2"/>
      <c r="T15" s="2"/>
      <c r="U15" s="2"/>
      <c r="V15" s="19"/>
      <c r="W15" s="2"/>
      <c r="X15" s="2">
        <f t="shared" si="2"/>
        <v>-59616.91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-247.83</f>
        <v>-247.83</v>
      </c>
      <c r="E16" s="2"/>
      <c r="F16" s="19"/>
      <c r="G16" s="2"/>
      <c r="H16" s="2"/>
      <c r="I16" s="2"/>
      <c r="J16" s="19"/>
      <c r="K16" s="2"/>
      <c r="L16" s="2">
        <f t="shared" si="0"/>
        <v>-247.83</v>
      </c>
      <c r="M16" s="2"/>
      <c r="N16" s="19">
        <f t="shared" si="1"/>
        <v>0</v>
      </c>
      <c r="O16" s="11"/>
      <c r="P16" s="2">
        <f>-646.83</f>
        <v>-646.83000000000004</v>
      </c>
      <c r="Q16" s="2"/>
      <c r="R16" s="19"/>
      <c r="S16" s="2"/>
      <c r="T16" s="2"/>
      <c r="U16" s="2"/>
      <c r="V16" s="19"/>
      <c r="W16" s="2"/>
      <c r="X16" s="2">
        <f t="shared" si="2"/>
        <v>-646.83000000000004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291793.13</v>
      </c>
      <c r="E18" s="4"/>
      <c r="F18" s="12">
        <f t="shared" ref="F18:F28" si="4">IF(D$12=0,0,D18/D$12)</f>
        <v>0.84978331325850154</v>
      </c>
      <c r="G18" s="4"/>
      <c r="H18" s="4">
        <f>SUM(OSRRefH16x_0)</f>
        <v>336642</v>
      </c>
      <c r="I18" s="4"/>
      <c r="J18" s="12">
        <f t="shared" ref="J18:J28" si="5">IF(H$12=0,0,H18/H$12)</f>
        <v>0.894998364957449</v>
      </c>
      <c r="K18" s="4"/>
      <c r="L18" s="4">
        <f t="shared" ref="L18:L28" si="6">+D18-H18</f>
        <v>-44848.869999999995</v>
      </c>
      <c r="M18" s="4"/>
      <c r="N18" s="12">
        <f t="shared" ref="N18:N28" si="7">IF(H18=0,0,L18/H18)</f>
        <v>-0.13322422632945383</v>
      </c>
      <c r="O18" s="10"/>
      <c r="P18" s="4">
        <f>SUM(OSRRefP16x_0)</f>
        <v>374164.6</v>
      </c>
      <c r="Q18" s="4"/>
      <c r="R18" s="12">
        <f t="shared" ref="R18:R28" si="8">IF(P$12=0,0,P18/P$12)</f>
        <v>0.85293314233908213</v>
      </c>
      <c r="S18" s="4"/>
      <c r="T18" s="4">
        <f>SUM(OSRRefT16x_0)</f>
        <v>585231</v>
      </c>
      <c r="U18" s="4"/>
      <c r="V18" s="12">
        <f t="shared" ref="V18:V28" si="9">IF(T$12=0,0,T18/T$12)</f>
        <v>0.89499915887993398</v>
      </c>
      <c r="W18" s="4"/>
      <c r="X18" s="4">
        <f t="shared" ref="X18:X28" si="10">+P18-T18</f>
        <v>-211066.40000000002</v>
      </c>
      <c r="Y18" s="4"/>
      <c r="Z18" s="12">
        <f t="shared" ref="Z18:Z28" si="11">IF(T18=0,0,X18/T18)</f>
        <v>-0.36065485252831792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285773.33</v>
      </c>
      <c r="E19" s="2"/>
      <c r="F19" s="19">
        <f t="shared" si="4"/>
        <v>0.83225196977158145</v>
      </c>
      <c r="G19" s="2"/>
      <c r="H19" s="2">
        <v>336642</v>
      </c>
      <c r="I19" s="2"/>
      <c r="J19" s="19">
        <f t="shared" si="5"/>
        <v>0.894998364957449</v>
      </c>
      <c r="K19" s="2"/>
      <c r="L19" s="2">
        <f t="shared" si="6"/>
        <v>-50868.669999999984</v>
      </c>
      <c r="M19" s="2"/>
      <c r="N19" s="19">
        <f t="shared" si="7"/>
        <v>-0.15110613054817873</v>
      </c>
      <c r="O19" s="11"/>
      <c r="P19" s="2">
        <v>383135.87</v>
      </c>
      <c r="Q19" s="2"/>
      <c r="R19" s="19">
        <f t="shared" si="8"/>
        <v>0.87338375020490466</v>
      </c>
      <c r="S19" s="2"/>
      <c r="T19" s="2">
        <v>585231</v>
      </c>
      <c r="U19" s="2"/>
      <c r="V19" s="19">
        <f t="shared" si="9"/>
        <v>0.89499915887993398</v>
      </c>
      <c r="W19" s="2"/>
      <c r="X19" s="2">
        <f t="shared" si="10"/>
        <v>-202095.13</v>
      </c>
      <c r="Y19" s="2"/>
      <c r="Z19" s="19">
        <f t="shared" si="11"/>
        <v>-0.34532540142268608</v>
      </c>
    </row>
    <row r="20" spans="1:26" s="24" customFormat="1" hidden="1" outlineLevel="1" x14ac:dyDescent="0.3">
      <c r="A20" s="44"/>
      <c r="B20" s="11" t="str">
        <f>CONCATENATE("          ", "5081", " - ", "PURCHASES @ COST-ELECTRONICS")</f>
        <v xml:space="preserve">          5081 - PURCHASES @ COST-ELECTRONICS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"5082", " - ", "PURCHASES @ COST-COMPUTER HARD")</f>
        <v xml:space="preserve">          5082 - PURCHASES @ COST-COMPUTER HARD</v>
      </c>
      <c r="C21" s="11"/>
      <c r="D21" s="2">
        <v>-23501.200000000001</v>
      </c>
      <c r="E21" s="2"/>
      <c r="F21" s="19">
        <f t="shared" si="4"/>
        <v>-6.8442076074754388E-2</v>
      </c>
      <c r="G21" s="2"/>
      <c r="H21" s="2"/>
      <c r="I21" s="2"/>
      <c r="J21" s="19">
        <f t="shared" si="5"/>
        <v>0</v>
      </c>
      <c r="K21" s="2"/>
      <c r="L21" s="2">
        <f t="shared" si="6"/>
        <v>-23501.200000000001</v>
      </c>
      <c r="M21" s="2"/>
      <c r="N21" s="19">
        <f t="shared" si="7"/>
        <v>0</v>
      </c>
      <c r="O21" s="11"/>
      <c r="P21" s="2">
        <v>-34403.82</v>
      </c>
      <c r="Q21" s="2"/>
      <c r="R21" s="19">
        <f t="shared" si="8"/>
        <v>-7.842580057297821E-2</v>
      </c>
      <c r="S21" s="2"/>
      <c r="T21" s="2"/>
      <c r="U21" s="2"/>
      <c r="V21" s="19">
        <f t="shared" si="9"/>
        <v>0</v>
      </c>
      <c r="W21" s="2"/>
      <c r="X21" s="2">
        <f t="shared" si="10"/>
        <v>-34403.82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"5083", " - ", "PURCHASES @ COST-COMPUTER EQUI")</f>
        <v xml:space="preserve">          5083 - PURCHASES @ COST-COMPUTER EQUI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"5085", " - ", "PURCHASES @ COST-SOFTWARE")</f>
        <v xml:space="preserve">          5085 - PURCHASES @ COST-SOFTWARE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"5086", " - ", "PURCHASES @ COST-COMPUTER SUPP")</f>
        <v xml:space="preserve">          5086 - PURCHASES @ COST-COMPUTER SUPP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"5200", " - ", "PURCHASES OFFSET")</f>
        <v xml:space="preserve">          5200 - PURCHASES OFFSET</v>
      </c>
      <c r="C25" s="11"/>
      <c r="D25" s="2">
        <v>-285788.87</v>
      </c>
      <c r="E25" s="2"/>
      <c r="F25" s="19">
        <f t="shared" si="4"/>
        <v>-0.83229722660366667</v>
      </c>
      <c r="G25" s="2"/>
      <c r="H25" s="2"/>
      <c r="I25" s="2"/>
      <c r="J25" s="19">
        <f t="shared" si="5"/>
        <v>0</v>
      </c>
      <c r="K25" s="2"/>
      <c r="L25" s="2">
        <f t="shared" si="6"/>
        <v>-285788.87</v>
      </c>
      <c r="M25" s="2"/>
      <c r="N25" s="19">
        <f t="shared" si="7"/>
        <v>0</v>
      </c>
      <c r="O25" s="11"/>
      <c r="P25" s="2">
        <v>-383171.52</v>
      </c>
      <c r="Q25" s="2"/>
      <c r="R25" s="19">
        <f t="shared" si="8"/>
        <v>-0.87346501675584087</v>
      </c>
      <c r="S25" s="2"/>
      <c r="T25" s="2"/>
      <c r="U25" s="2"/>
      <c r="V25" s="19">
        <f t="shared" si="9"/>
        <v>0</v>
      </c>
      <c r="W25" s="2"/>
      <c r="X25" s="2">
        <f t="shared" si="10"/>
        <v>-383171.52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"5300", " - ", "COG$ OFFSET")</f>
        <v xml:space="preserve">          5300 - COG$ OFFSET</v>
      </c>
      <c r="C26" s="11"/>
      <c r="D26" s="2">
        <v>315294.33</v>
      </c>
      <c r="E26" s="2"/>
      <c r="F26" s="19">
        <f t="shared" si="4"/>
        <v>0.91822538933325593</v>
      </c>
      <c r="G26" s="2"/>
      <c r="H26" s="2"/>
      <c r="I26" s="2"/>
      <c r="J26" s="19">
        <f t="shared" si="5"/>
        <v>0</v>
      </c>
      <c r="K26" s="2"/>
      <c r="L26" s="2">
        <f t="shared" si="6"/>
        <v>315294.33</v>
      </c>
      <c r="M26" s="2"/>
      <c r="N26" s="19">
        <f t="shared" si="7"/>
        <v>0</v>
      </c>
      <c r="O26" s="11"/>
      <c r="P26" s="2">
        <v>408568.42</v>
      </c>
      <c r="Q26" s="2"/>
      <c r="R26" s="19">
        <f t="shared" si="8"/>
        <v>0.93135894291206034</v>
      </c>
      <c r="S26" s="2"/>
      <c r="T26" s="2"/>
      <c r="U26" s="2"/>
      <c r="V26" s="19">
        <f t="shared" si="9"/>
        <v>0</v>
      </c>
      <c r="W26" s="2"/>
      <c r="X26" s="2">
        <f t="shared" si="10"/>
        <v>408568.42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2">
        <v>15.54</v>
      </c>
      <c r="E27" s="2"/>
      <c r="F27" s="19">
        <f t="shared" si="4"/>
        <v>4.5256832085241734E-5</v>
      </c>
      <c r="G27" s="2"/>
      <c r="H27" s="2"/>
      <c r="I27" s="2"/>
      <c r="J27" s="19">
        <f t="shared" si="5"/>
        <v>0</v>
      </c>
      <c r="K27" s="2"/>
      <c r="L27" s="2">
        <f t="shared" si="6"/>
        <v>15.54</v>
      </c>
      <c r="M27" s="2"/>
      <c r="N27" s="19">
        <f t="shared" si="7"/>
        <v>0</v>
      </c>
      <c r="O27" s="11"/>
      <c r="P27" s="2">
        <v>35.65</v>
      </c>
      <c r="Q27" s="2"/>
      <c r="R27" s="19">
        <f t="shared" si="8"/>
        <v>8.1266550936107476E-5</v>
      </c>
      <c r="S27" s="2"/>
      <c r="T27" s="2"/>
      <c r="U27" s="2"/>
      <c r="V27" s="19">
        <f t="shared" si="9"/>
        <v>0</v>
      </c>
      <c r="W27" s="2"/>
      <c r="X27" s="2">
        <f t="shared" si="10"/>
        <v>35.65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"5583", " - ", "FREIGHT-IN-COMPUTER EQUIPMENT")</f>
        <v xml:space="preserve">          5583 - FREIGHT-IN-COMPUTER EQUIPMENT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108</v>
      </c>
      <c r="C30" s="26"/>
      <c r="D30" s="21">
        <f>D12-D18</f>
        <v>51580.44</v>
      </c>
      <c r="E30" s="13"/>
      <c r="F30" s="20">
        <f>IF(D$12=0,0,D30/D$12)</f>
        <v>0.15021668674149849</v>
      </c>
      <c r="G30" s="13"/>
      <c r="H30" s="21">
        <f>H12-H18</f>
        <v>39495</v>
      </c>
      <c r="I30" s="13"/>
      <c r="J30" s="20">
        <f>IF(H$12=0,0,H30/H$12)</f>
        <v>0.10500163504255099</v>
      </c>
      <c r="K30" s="16"/>
      <c r="L30" s="21">
        <f>+D30-H30</f>
        <v>12085.440000000002</v>
      </c>
      <c r="M30" s="16"/>
      <c r="N30" s="20">
        <f>IF(H30=0,0,L30/H30)</f>
        <v>0.30599924041017856</v>
      </c>
      <c r="O30" s="25"/>
      <c r="P30" s="21">
        <f>P12-P18</f>
        <v>64515.26999999996</v>
      </c>
      <c r="Q30" s="13"/>
      <c r="R30" s="20">
        <f>IF(P$12=0,0,P30/P$12)</f>
        <v>0.1470668576609179</v>
      </c>
      <c r="S30" s="13"/>
      <c r="T30" s="21">
        <f>T12-T18</f>
        <v>68659</v>
      </c>
      <c r="U30" s="13"/>
      <c r="V30" s="20">
        <f>IF(T$12=0,0,T30/T$12)</f>
        <v>0.10500084112006607</v>
      </c>
      <c r="W30" s="16"/>
      <c r="X30" s="21">
        <f>+P30-T30</f>
        <v>-4143.7300000000396</v>
      </c>
      <c r="Y30" s="16"/>
      <c r="Z30" s="20">
        <f>IF(T30=0,0,X30/T30)</f>
        <v>-6.0352320890197056E-2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2">
        <f>SUM(OSRRefD22x_0)</f>
        <v>14040.32</v>
      </c>
      <c r="E32" s="22"/>
      <c r="F32" s="31">
        <f t="shared" ref="F32:F43" si="12">IF(D$12=0,0,D32/D$12)</f>
        <v>4.0889343929411924E-2</v>
      </c>
      <c r="G32" s="22"/>
      <c r="H32" s="22">
        <f>SUM(OSRRefH22x_0)</f>
        <v>17498.206984870001</v>
      </c>
      <c r="I32" s="22"/>
      <c r="J32" s="31">
        <f t="shared" ref="J32:J43" si="13">IF(H$12=0,0,H32/H$12)</f>
        <v>4.6520834123922938E-2</v>
      </c>
      <c r="K32" s="4"/>
      <c r="L32" s="22">
        <f t="shared" ref="L32:L43" si="14">+D32-H32</f>
        <v>-3457.8869848700015</v>
      </c>
      <c r="M32" s="4"/>
      <c r="N32" s="31">
        <f t="shared" ref="N32:N43" si="15">IF(H32=0,0,L32/H32)</f>
        <v>-0.19761378910764388</v>
      </c>
      <c r="O32" s="10"/>
      <c r="P32" s="22">
        <f>SUM(OSRRefP22x_0)</f>
        <v>30924.99</v>
      </c>
      <c r="Q32" s="22"/>
      <c r="R32" s="31">
        <f t="shared" ref="R32:R43" si="16">IF(P$12=0,0,P32/P$12)</f>
        <v>7.0495575737268293E-2</v>
      </c>
      <c r="S32" s="22"/>
      <c r="T32" s="22">
        <f>SUM(OSRRefT22x_0)</f>
        <v>34638.963345957498</v>
      </c>
      <c r="U32" s="22"/>
      <c r="V32" s="31">
        <f t="shared" ref="V32:V43" si="17">IF(T$12=0,0,T32/T$12)</f>
        <v>5.2973685705481804E-2</v>
      </c>
      <c r="W32" s="4"/>
      <c r="X32" s="22">
        <f t="shared" ref="X32:X43" si="18">+P32-T32</f>
        <v>-3713.9733459574963</v>
      </c>
      <c r="Y32" s="4"/>
      <c r="Z32" s="31">
        <f t="shared" ref="Z32:Z43" si="19">IF(T32=0,0,X32/T32)</f>
        <v>-0.10721952931628168</v>
      </c>
    </row>
    <row r="33" spans="1:26" s="28" customFormat="1" outlineLevel="1" collapsed="1" x14ac:dyDescent="0.3">
      <c r="A33" s="29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999.63</v>
      </c>
      <c r="E33" s="1"/>
      <c r="F33" s="5">
        <f t="shared" si="12"/>
        <v>2.9112025133442854E-3</v>
      </c>
      <c r="G33" s="1"/>
      <c r="H33" s="1">
        <f>SUM(OSRRefH22_0x_0)</f>
        <v>3080.6564348700003</v>
      </c>
      <c r="I33" s="1"/>
      <c r="J33" s="5">
        <f t="shared" si="13"/>
        <v>8.1902509853324732E-3</v>
      </c>
      <c r="K33" s="1"/>
      <c r="L33" s="1">
        <f t="shared" si="14"/>
        <v>-2081.0264348700002</v>
      </c>
      <c r="M33" s="1"/>
      <c r="N33" s="5">
        <f t="shared" si="15"/>
        <v>-0.6755139623214157</v>
      </c>
      <c r="O33" s="14"/>
      <c r="P33" s="1">
        <f>SUM(OSRRefP22_0x_0)</f>
        <v>3159.23</v>
      </c>
      <c r="Q33" s="1"/>
      <c r="R33" s="5">
        <f t="shared" si="16"/>
        <v>7.2016753355926737E-3</v>
      </c>
      <c r="S33" s="1"/>
      <c r="T33" s="1">
        <f>SUM(OSRRefT22_0x_0)</f>
        <v>6398.4746084574999</v>
      </c>
      <c r="U33" s="1"/>
      <c r="V33" s="5">
        <f t="shared" si="17"/>
        <v>9.7852461552516475E-3</v>
      </c>
      <c r="W33" s="1"/>
      <c r="X33" s="1">
        <f t="shared" si="18"/>
        <v>-3239.2446084574999</v>
      </c>
      <c r="Y33" s="1"/>
      <c r="Z33" s="5">
        <f t="shared" si="19"/>
        <v>-0.50625263155313116</v>
      </c>
    </row>
    <row r="34" spans="1:26" s="24" customFormat="1" hidden="1" outlineLevel="2" x14ac:dyDescent="0.3">
      <c r="A34" s="27"/>
      <c r="B34" s="11" t="str">
        <f>CONCATENATE("          ", "6111", " - ", "F.I.C.A.")</f>
        <v xml:space="preserve">          6111 - F.I.C.A.</v>
      </c>
      <c r="C34" s="11"/>
      <c r="D34" s="6">
        <v>406.68</v>
      </c>
      <c r="E34" s="2"/>
      <c r="F34" s="7">
        <f t="shared" si="12"/>
        <v>1.1843660535666737E-3</v>
      </c>
      <c r="G34" s="2"/>
      <c r="H34" s="6">
        <v>902.77611956999999</v>
      </c>
      <c r="I34" s="2"/>
      <c r="J34" s="7">
        <f t="shared" si="13"/>
        <v>2.4001258040820231E-3</v>
      </c>
      <c r="K34" s="2"/>
      <c r="L34" s="6">
        <f t="shared" si="14"/>
        <v>-496.09611956999998</v>
      </c>
      <c r="M34" s="2"/>
      <c r="N34" s="7">
        <f t="shared" si="15"/>
        <v>-0.54952286487849811</v>
      </c>
      <c r="O34" s="11"/>
      <c r="P34" s="6">
        <v>1060.24</v>
      </c>
      <c r="Q34" s="2"/>
      <c r="R34" s="7">
        <f t="shared" si="16"/>
        <v>2.416887740939652E-3</v>
      </c>
      <c r="S34" s="2"/>
      <c r="T34" s="6">
        <v>1807.8551990325</v>
      </c>
      <c r="U34" s="2"/>
      <c r="V34" s="7">
        <f t="shared" si="17"/>
        <v>2.7647696080877518E-3</v>
      </c>
      <c r="W34" s="2"/>
      <c r="X34" s="6">
        <f t="shared" si="18"/>
        <v>-747.61519903249996</v>
      </c>
      <c r="Y34" s="2"/>
      <c r="Z34" s="7">
        <f t="shared" si="19"/>
        <v>-0.41353710155138373</v>
      </c>
    </row>
    <row r="35" spans="1:26" s="24" customFormat="1" hidden="1" outlineLevel="2" x14ac:dyDescent="0.3">
      <c r="A35" s="27"/>
      <c r="B35" s="11" t="str">
        <f>CONCATENATE("          ", "6112", " - ", "COMPENSATION INSURANCE")</f>
        <v xml:space="preserve">          6112 - COMPENSATION INSURANCE</v>
      </c>
      <c r="C35" s="11"/>
      <c r="D35" s="6">
        <v>112.83</v>
      </c>
      <c r="E35" s="2"/>
      <c r="F35" s="7">
        <f t="shared" si="12"/>
        <v>3.2859255882740189E-4</v>
      </c>
      <c r="G35" s="2"/>
      <c r="H35" s="6">
        <v>184.02335640000001</v>
      </c>
      <c r="I35" s="2"/>
      <c r="J35" s="7">
        <f t="shared" si="13"/>
        <v>4.8924555786854262E-4</v>
      </c>
      <c r="K35" s="2"/>
      <c r="L35" s="6">
        <f t="shared" si="14"/>
        <v>-71.193356400000013</v>
      </c>
      <c r="M35" s="2"/>
      <c r="N35" s="7">
        <f t="shared" si="15"/>
        <v>-0.38687130695112137</v>
      </c>
      <c r="O35" s="11"/>
      <c r="P35" s="6">
        <v>290.19</v>
      </c>
      <c r="Q35" s="2"/>
      <c r="R35" s="7">
        <f t="shared" si="16"/>
        <v>6.6150744505326863E-4</v>
      </c>
      <c r="S35" s="2"/>
      <c r="T35" s="6">
        <v>368.51615190000001</v>
      </c>
      <c r="U35" s="2"/>
      <c r="V35" s="7">
        <f t="shared" si="17"/>
        <v>5.6357514551377147E-4</v>
      </c>
      <c r="W35" s="2"/>
      <c r="X35" s="6">
        <f t="shared" si="18"/>
        <v>-78.326151900000013</v>
      </c>
      <c r="Y35" s="2"/>
      <c r="Z35" s="7">
        <f t="shared" si="19"/>
        <v>-0.2125446917215571</v>
      </c>
    </row>
    <row r="36" spans="1:26" s="24" customFormat="1" hidden="1" outlineLevel="2" x14ac:dyDescent="0.3">
      <c r="A36" s="27"/>
      <c r="B36" s="11" t="str">
        <f>CONCATENATE("          ", "6113", " - ", "GROUP INSURANCE")</f>
        <v xml:space="preserve">          6113 - GROUP INSURANCE</v>
      </c>
      <c r="C36" s="11"/>
      <c r="D36" s="6">
        <v>165.65</v>
      </c>
      <c r="E36" s="2"/>
      <c r="F36" s="7">
        <f t="shared" si="12"/>
        <v>4.8241919143631238E-4</v>
      </c>
      <c r="G36" s="2"/>
      <c r="H36" s="6">
        <v>943.5</v>
      </c>
      <c r="I36" s="2"/>
      <c r="J36" s="7">
        <f t="shared" si="13"/>
        <v>2.5083945477312789E-3</v>
      </c>
      <c r="K36" s="2"/>
      <c r="L36" s="6">
        <f t="shared" si="14"/>
        <v>-777.85</v>
      </c>
      <c r="M36" s="2"/>
      <c r="N36" s="7">
        <f t="shared" si="15"/>
        <v>-0.82443031266560685</v>
      </c>
      <c r="O36" s="11"/>
      <c r="P36" s="6">
        <v>993.92</v>
      </c>
      <c r="Q36" s="2"/>
      <c r="R36" s="7">
        <f t="shared" si="16"/>
        <v>2.2657068809653841E-3</v>
      </c>
      <c r="S36" s="2"/>
      <c r="T36" s="6">
        <v>2040</v>
      </c>
      <c r="U36" s="2"/>
      <c r="V36" s="7">
        <f t="shared" si="17"/>
        <v>3.119790790499931E-3</v>
      </c>
      <c r="W36" s="2"/>
      <c r="X36" s="6">
        <f t="shared" si="18"/>
        <v>-1046.08</v>
      </c>
      <c r="Y36" s="2"/>
      <c r="Z36" s="7">
        <f t="shared" si="19"/>
        <v>-0.51278431372549016</v>
      </c>
    </row>
    <row r="37" spans="1:26" s="24" customFormat="1" hidden="1" outlineLevel="2" x14ac:dyDescent="0.3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19.82</v>
      </c>
      <c r="E37" s="2"/>
      <c r="F37" s="7">
        <f t="shared" si="12"/>
        <v>5.7721390729053494E-5</v>
      </c>
      <c r="G37" s="2"/>
      <c r="H37" s="6">
        <v>24.772374899999999</v>
      </c>
      <c r="I37" s="2"/>
      <c r="J37" s="7">
        <f t="shared" si="13"/>
        <v>6.585997894384227E-5</v>
      </c>
      <c r="K37" s="2"/>
      <c r="L37" s="6">
        <f t="shared" si="14"/>
        <v>-4.9523748999999988</v>
      </c>
      <c r="M37" s="2"/>
      <c r="N37" s="7">
        <f t="shared" si="15"/>
        <v>-0.19991522492258096</v>
      </c>
      <c r="O37" s="11"/>
      <c r="P37" s="6">
        <v>50.98</v>
      </c>
      <c r="Q37" s="2"/>
      <c r="R37" s="7">
        <f t="shared" si="16"/>
        <v>1.1621230762195676E-4</v>
      </c>
      <c r="S37" s="2"/>
      <c r="T37" s="6">
        <v>49.607943525000003</v>
      </c>
      <c r="U37" s="2"/>
      <c r="V37" s="7">
        <f t="shared" si="17"/>
        <v>7.5865884973007696E-5</v>
      </c>
      <c r="W37" s="2"/>
      <c r="X37" s="6">
        <f t="shared" si="18"/>
        <v>1.3720564749999937</v>
      </c>
      <c r="Y37" s="2"/>
      <c r="Z37" s="7">
        <f t="shared" si="19"/>
        <v>2.7657999455440913E-2</v>
      </c>
    </row>
    <row r="38" spans="1:26" s="24" customFormat="1" hidden="1" outlineLevel="2" x14ac:dyDescent="0.3">
      <c r="A38" s="27"/>
      <c r="B38" s="11" t="str">
        <f>CONCATENATE("          ", "6115", " - ", "P.E.R.S.")</f>
        <v xml:space="preserve">          6115 - P.E.R.S.</v>
      </c>
      <c r="C38" s="11"/>
      <c r="D38" s="6">
        <v>99.25</v>
      </c>
      <c r="E38" s="2"/>
      <c r="F38" s="7">
        <f t="shared" si="12"/>
        <v>2.8904379565381226E-4</v>
      </c>
      <c r="G38" s="2"/>
      <c r="H38" s="6">
        <v>202.166134</v>
      </c>
      <c r="I38" s="2"/>
      <c r="J38" s="7">
        <f t="shared" si="13"/>
        <v>5.3748005115157507E-4</v>
      </c>
      <c r="K38" s="2"/>
      <c r="L38" s="6">
        <f t="shared" si="14"/>
        <v>-102.916134</v>
      </c>
      <c r="M38" s="2"/>
      <c r="N38" s="7">
        <f t="shared" si="15"/>
        <v>-0.50906713188668884</v>
      </c>
      <c r="O38" s="11"/>
      <c r="P38" s="6">
        <v>233.15</v>
      </c>
      <c r="Q38" s="2"/>
      <c r="R38" s="7">
        <f t="shared" si="16"/>
        <v>5.3148096355549676E-4</v>
      </c>
      <c r="S38" s="2"/>
      <c r="T38" s="6">
        <v>454.87380150000001</v>
      </c>
      <c r="U38" s="2"/>
      <c r="V38" s="7">
        <f t="shared" si="17"/>
        <v>6.9564269448989897E-4</v>
      </c>
      <c r="W38" s="2"/>
      <c r="X38" s="6">
        <f t="shared" si="18"/>
        <v>-221.72380150000001</v>
      </c>
      <c r="Y38" s="2"/>
      <c r="Z38" s="7">
        <f t="shared" si="19"/>
        <v>-0.48744025434931537</v>
      </c>
    </row>
    <row r="39" spans="1:26" s="24" customFormat="1" hidden="1" outlineLevel="2" x14ac:dyDescent="0.3">
      <c r="A39" s="27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7"/>
      <c r="B40" s="11" t="str">
        <f>CONCATENATE("          ", "6117", " - ", "RETIREMENT STAFF HOURLY")</f>
        <v xml:space="preserve">          6117 - RETIREMENT STAFF HOURLY</v>
      </c>
      <c r="C40" s="11"/>
      <c r="D40" s="6">
        <v>60</v>
      </c>
      <c r="E40" s="2"/>
      <c r="F40" s="7">
        <f t="shared" si="12"/>
        <v>1.7473680341792178E-4</v>
      </c>
      <c r="G40" s="2"/>
      <c r="H40" s="6"/>
      <c r="I40" s="2"/>
      <c r="J40" s="7">
        <f t="shared" si="13"/>
        <v>0</v>
      </c>
      <c r="K40" s="2"/>
      <c r="L40" s="6">
        <f t="shared" si="14"/>
        <v>60</v>
      </c>
      <c r="M40" s="2"/>
      <c r="N40" s="7">
        <f t="shared" si="15"/>
        <v>0</v>
      </c>
      <c r="O40" s="11"/>
      <c r="P40" s="6">
        <v>222.7</v>
      </c>
      <c r="Q40" s="2"/>
      <c r="R40" s="7">
        <f t="shared" si="16"/>
        <v>5.0765949210297711E-4</v>
      </c>
      <c r="S40" s="2"/>
      <c r="T40" s="6"/>
      <c r="U40" s="2"/>
      <c r="V40" s="7">
        <f t="shared" si="17"/>
        <v>0</v>
      </c>
      <c r="W40" s="2"/>
      <c r="X40" s="6">
        <f t="shared" si="18"/>
        <v>222.7</v>
      </c>
      <c r="Y40" s="2"/>
      <c r="Z40" s="7">
        <f t="shared" si="19"/>
        <v>0</v>
      </c>
    </row>
    <row r="41" spans="1:26" s="24" customFormat="1" hidden="1" outlineLevel="2" x14ac:dyDescent="0.3">
      <c r="A41" s="27"/>
      <c r="B41" s="11" t="str">
        <f>CONCATENATE("          ", "6118", " - ", "VACATION")</f>
        <v xml:space="preserve">          6118 - VACATION</v>
      </c>
      <c r="C41" s="11"/>
      <c r="D41" s="6">
        <v>61.6</v>
      </c>
      <c r="E41" s="2"/>
      <c r="F41" s="7">
        <f t="shared" si="12"/>
        <v>1.7939645150906634E-4</v>
      </c>
      <c r="G41" s="2"/>
      <c r="H41" s="6">
        <v>179.29106999999999</v>
      </c>
      <c r="I41" s="2"/>
      <c r="J41" s="7">
        <f t="shared" si="13"/>
        <v>4.766642739214701E-4</v>
      </c>
      <c r="K41" s="2"/>
      <c r="L41" s="6">
        <f t="shared" si="14"/>
        <v>-117.69107</v>
      </c>
      <c r="M41" s="2"/>
      <c r="N41" s="7">
        <f t="shared" si="15"/>
        <v>-0.65642460608885878</v>
      </c>
      <c r="O41" s="11"/>
      <c r="P41" s="6">
        <v>129.36000000000001</v>
      </c>
      <c r="Q41" s="2"/>
      <c r="R41" s="7">
        <f t="shared" si="16"/>
        <v>2.9488474134908453E-4</v>
      </c>
      <c r="S41" s="2"/>
      <c r="T41" s="6">
        <v>403.40490749999998</v>
      </c>
      <c r="U41" s="2"/>
      <c r="V41" s="7">
        <f t="shared" si="17"/>
        <v>6.1693084081420419E-4</v>
      </c>
      <c r="W41" s="2"/>
      <c r="X41" s="6">
        <f t="shared" si="18"/>
        <v>-274.04490749999997</v>
      </c>
      <c r="Y41" s="2"/>
      <c r="Z41" s="7">
        <f t="shared" si="19"/>
        <v>-0.67932963234960142</v>
      </c>
    </row>
    <row r="42" spans="1:26" s="24" customFormat="1" hidden="1" outlineLevel="2" x14ac:dyDescent="0.3">
      <c r="A42" s="27"/>
      <c r="B42" s="11" t="str">
        <f>CONCATENATE("          ", "6119", " - ", "SICK LEAVE")</f>
        <v xml:space="preserve">          6119 - SICK LEAVE</v>
      </c>
      <c r="C42" s="11"/>
      <c r="D42" s="6">
        <v>73.8</v>
      </c>
      <c r="E42" s="2"/>
      <c r="F42" s="7">
        <f t="shared" si="12"/>
        <v>2.1492626820404377E-4</v>
      </c>
      <c r="G42" s="2"/>
      <c r="H42" s="6">
        <v>294.12738000000002</v>
      </c>
      <c r="I42" s="2"/>
      <c r="J42" s="7">
        <f t="shared" si="13"/>
        <v>7.8196875074773293E-4</v>
      </c>
      <c r="K42" s="2"/>
      <c r="L42" s="6">
        <f t="shared" si="14"/>
        <v>-220.32738000000001</v>
      </c>
      <c r="M42" s="2"/>
      <c r="N42" s="7">
        <f t="shared" si="15"/>
        <v>-0.74908830316987152</v>
      </c>
      <c r="O42" s="11"/>
      <c r="P42" s="6">
        <v>154.97999999999999</v>
      </c>
      <c r="Q42" s="2"/>
      <c r="R42" s="7">
        <f t="shared" si="16"/>
        <v>3.5328723882406554E-4</v>
      </c>
      <c r="S42" s="2"/>
      <c r="T42" s="6">
        <v>574.21660499999996</v>
      </c>
      <c r="U42" s="2"/>
      <c r="V42" s="7">
        <f t="shared" si="17"/>
        <v>8.7815474315251795E-4</v>
      </c>
      <c r="W42" s="2"/>
      <c r="X42" s="6">
        <f t="shared" si="18"/>
        <v>-419.23660499999994</v>
      </c>
      <c r="Y42" s="2"/>
      <c r="Z42" s="7">
        <f t="shared" si="19"/>
        <v>-0.73010184893555974</v>
      </c>
    </row>
    <row r="43" spans="1:26" s="24" customFormat="1" hidden="1" outlineLevel="2" x14ac:dyDescent="0.3">
      <c r="A43" s="27"/>
      <c r="B43" s="11" t="str">
        <f>CONCATENATE("          ", "6156", " - ", "EMPLOYEE MEALS")</f>
        <v xml:space="preserve">          6156 - EMPLOYEE MEALS</v>
      </c>
      <c r="C43" s="11"/>
      <c r="D43" s="6"/>
      <c r="E43" s="2"/>
      <c r="F43" s="7">
        <f t="shared" si="12"/>
        <v>0</v>
      </c>
      <c r="G43" s="2"/>
      <c r="H43" s="6">
        <v>350</v>
      </c>
      <c r="I43" s="2"/>
      <c r="J43" s="7">
        <f t="shared" si="13"/>
        <v>9.3051202088600699E-4</v>
      </c>
      <c r="K43" s="2"/>
      <c r="L43" s="6">
        <f t="shared" si="14"/>
        <v>-350</v>
      </c>
      <c r="M43" s="2"/>
      <c r="N43" s="7">
        <f t="shared" si="15"/>
        <v>-1</v>
      </c>
      <c r="O43" s="11"/>
      <c r="P43" s="6">
        <v>23.71</v>
      </c>
      <c r="Q43" s="2"/>
      <c r="R43" s="7">
        <f t="shared" si="16"/>
        <v>5.4048525180788453E-5</v>
      </c>
      <c r="S43" s="2"/>
      <c r="T43" s="6">
        <v>700</v>
      </c>
      <c r="U43" s="2"/>
      <c r="V43" s="7">
        <f t="shared" si="17"/>
        <v>1.0705164477205647E-3</v>
      </c>
      <c r="W43" s="2"/>
      <c r="X43" s="6">
        <f t="shared" si="18"/>
        <v>-676.29</v>
      </c>
      <c r="Y43" s="2"/>
      <c r="Z43" s="7">
        <f t="shared" si="19"/>
        <v>-0.96612857142857134</v>
      </c>
    </row>
    <row r="44" spans="1:26" s="28" customFormat="1" outlineLevel="1" collapsed="1" x14ac:dyDescent="0.3">
      <c r="A44" s="29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9364.9499999999989</v>
      </c>
      <c r="E44" s="1"/>
      <c r="F44" s="5">
        <f t="shared" ref="F44:F54" si="20">IF(D$12=0,0,D44/D$12)</f>
        <v>2.727335711947777E-2</v>
      </c>
      <c r="G44" s="1"/>
      <c r="H44" s="1">
        <f>SUM(OSRRefH22_1x_0)</f>
        <v>11497.55055</v>
      </c>
      <c r="I44" s="1"/>
      <c r="J44" s="5">
        <f t="shared" ref="J44:J54" si="21">IF(H$12=0,0,H44/H$12)</f>
        <v>3.0567454278627202E-2</v>
      </c>
      <c r="K44" s="1"/>
      <c r="L44" s="1">
        <f t="shared" ref="L44:L54" si="22">+D44-H44</f>
        <v>-2132.600550000001</v>
      </c>
      <c r="M44" s="1"/>
      <c r="N44" s="5">
        <f t="shared" ref="N44:N54" si="23">IF(H44=0,0,L44/H44)</f>
        <v>-0.18548303316657311</v>
      </c>
      <c r="O44" s="14"/>
      <c r="P44" s="1">
        <f>SUM(OSRRefP22_1x_0)</f>
        <v>19875.87</v>
      </c>
      <c r="Q44" s="1"/>
      <c r="R44" s="5">
        <f t="shared" ref="R44:R54" si="24">IF(P$12=0,0,P44/P$12)</f>
        <v>4.5308370315692854E-2</v>
      </c>
      <c r="S44" s="1"/>
      <c r="T44" s="1">
        <f>SUM(OSRRefT22_1x_0)</f>
        <v>22950.4887375</v>
      </c>
      <c r="U44" s="1"/>
      <c r="V44" s="5">
        <f t="shared" ref="V44:V54" si="25">IF(T$12=0,0,T44/T$12)</f>
        <v>3.5098393823884751E-2</v>
      </c>
      <c r="W44" s="1"/>
      <c r="X44" s="1">
        <f t="shared" ref="X44:X54" si="26">+P44-T44</f>
        <v>-3074.6187375000009</v>
      </c>
      <c r="Y44" s="1"/>
      <c r="Z44" s="5">
        <f t="shared" ref="Z44:Z54" si="27">IF(T44=0,0,X44/T44)</f>
        <v>-0.1339674624216704</v>
      </c>
    </row>
    <row r="45" spans="1:26" s="24" customFormat="1" hidden="1" outlineLevel="2" x14ac:dyDescent="0.3">
      <c r="A45" s="27"/>
      <c r="B45" s="11" t="str">
        <f>CONCATENATE("          ", "6001", " - ", "ADMINISTRATIVE SALARIES")</f>
        <v xml:space="preserve">          6001 - ADMINISTRATIVE SALARIES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"6002", " - ", "STAFF SALARIES")</f>
        <v xml:space="preserve">          6002 - STAFF SALARIES</v>
      </c>
      <c r="C46" s="11"/>
      <c r="D46" s="6">
        <v>980.7</v>
      </c>
      <c r="E46" s="2"/>
      <c r="F46" s="7">
        <f t="shared" si="20"/>
        <v>2.8560730518659315E-3</v>
      </c>
      <c r="G46" s="2"/>
      <c r="H46" s="6">
        <v>2233.2305500000002</v>
      </c>
      <c r="I46" s="2"/>
      <c r="J46" s="7">
        <f t="shared" si="21"/>
        <v>5.9372796348139117E-3</v>
      </c>
      <c r="K46" s="2"/>
      <c r="L46" s="6">
        <f t="shared" si="22"/>
        <v>-1252.5305500000002</v>
      </c>
      <c r="M46" s="2"/>
      <c r="N46" s="7">
        <f t="shared" si="23"/>
        <v>-0.56086038676123251</v>
      </c>
      <c r="O46" s="11"/>
      <c r="P46" s="6">
        <v>6094.62</v>
      </c>
      <c r="Q46" s="2"/>
      <c r="R46" s="7">
        <f t="shared" si="24"/>
        <v>1.3893092473105731E-2</v>
      </c>
      <c r="S46" s="2"/>
      <c r="T46" s="6">
        <v>5024.7687374999996</v>
      </c>
      <c r="U46" s="2"/>
      <c r="V46" s="7">
        <f t="shared" si="25"/>
        <v>7.6844251135512083E-3</v>
      </c>
      <c r="W46" s="2"/>
      <c r="X46" s="6">
        <f t="shared" si="26"/>
        <v>1069.8512625000003</v>
      </c>
      <c r="Y46" s="2"/>
      <c r="Z46" s="7">
        <f t="shared" si="27"/>
        <v>0.21291552276140954</v>
      </c>
    </row>
    <row r="47" spans="1:26" s="24" customFormat="1" hidden="1" outlineLevel="2" x14ac:dyDescent="0.3">
      <c r="A47" s="27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3">
      <c r="A48" s="27"/>
      <c r="B48" s="11" t="str">
        <f>CONCATENATE("          ", "6004", " - ", "STAFF HOURLY")</f>
        <v xml:space="preserve">          6004 - STAFF HOURLY</v>
      </c>
      <c r="C48" s="11"/>
      <c r="D48" s="6">
        <v>1109.33</v>
      </c>
      <c r="E48" s="2"/>
      <c r="F48" s="7">
        <f t="shared" si="20"/>
        <v>3.2306796355933858E-3</v>
      </c>
      <c r="G48" s="2"/>
      <c r="H48" s="6">
        <v>3444.32</v>
      </c>
      <c r="I48" s="2"/>
      <c r="J48" s="7">
        <f t="shared" si="21"/>
        <v>9.157089039365976E-3</v>
      </c>
      <c r="K48" s="2"/>
      <c r="L48" s="6">
        <f t="shared" si="22"/>
        <v>-2334.9900000000002</v>
      </c>
      <c r="M48" s="2"/>
      <c r="N48" s="7">
        <f t="shared" si="23"/>
        <v>-0.67792481534816751</v>
      </c>
      <c r="O48" s="11"/>
      <c r="P48" s="6">
        <v>1719.83</v>
      </c>
      <c r="Q48" s="2"/>
      <c r="R48" s="7">
        <f t="shared" si="24"/>
        <v>3.9204671050896414E-3</v>
      </c>
      <c r="S48" s="2"/>
      <c r="T48" s="6">
        <v>7749.72</v>
      </c>
      <c r="U48" s="2"/>
      <c r="V48" s="7">
        <f t="shared" si="25"/>
        <v>1.1851718178898591E-2</v>
      </c>
      <c r="W48" s="2"/>
      <c r="X48" s="6">
        <f t="shared" si="26"/>
        <v>-6029.89</v>
      </c>
      <c r="Y48" s="2"/>
      <c r="Z48" s="7">
        <f t="shared" si="27"/>
        <v>-0.77807843380147934</v>
      </c>
    </row>
    <row r="49" spans="1:26" s="24" customFormat="1" hidden="1" outlineLevel="2" x14ac:dyDescent="0.3">
      <c r="A49" s="27"/>
      <c r="B49" s="11" t="str">
        <f>CONCATENATE("          ", "6005", " - ", "TEMPORARY WAGES-HOURLY")</f>
        <v xml:space="preserve">          6005 - TEMPORARY WAGES-HOURLY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4" customFormat="1" hidden="1" outlineLevel="2" x14ac:dyDescent="0.3">
      <c r="A50" s="27"/>
      <c r="B50" s="11" t="str">
        <f>CONCATENATE("          ", "6006", " - ", "TEMPORARY PART TIME")</f>
        <v xml:space="preserve">          6006 - TEMPORARY PART TIME</v>
      </c>
      <c r="C50" s="11"/>
      <c r="D50" s="6"/>
      <c r="E50" s="2"/>
      <c r="F50" s="7">
        <f t="shared" si="20"/>
        <v>0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0</v>
      </c>
      <c r="M50" s="2"/>
      <c r="N50" s="7">
        <f t="shared" si="23"/>
        <v>0</v>
      </c>
      <c r="O50" s="11"/>
      <c r="P50" s="6"/>
      <c r="Q50" s="2"/>
      <c r="R50" s="7">
        <f t="shared" si="24"/>
        <v>0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0</v>
      </c>
      <c r="Y50" s="2"/>
      <c r="Z50" s="7">
        <f t="shared" si="27"/>
        <v>0</v>
      </c>
    </row>
    <row r="51" spans="1:26" s="24" customFormat="1" hidden="1" outlineLevel="2" x14ac:dyDescent="0.3">
      <c r="A51" s="27"/>
      <c r="B51" s="11" t="str">
        <f>CONCATENATE("          ", "6007", " - ", "STUDENT HOURLY")</f>
        <v xml:space="preserve">          6007 - STUDENT HOURLY</v>
      </c>
      <c r="C51" s="11"/>
      <c r="D51" s="6">
        <v>6117.37</v>
      </c>
      <c r="E51" s="2"/>
      <c r="F51" s="7">
        <f t="shared" si="20"/>
        <v>1.7815494652078202E-2</v>
      </c>
      <c r="G51" s="2"/>
      <c r="H51" s="6">
        <v>5820</v>
      </c>
      <c r="I51" s="2"/>
      <c r="J51" s="7">
        <f t="shared" si="21"/>
        <v>1.5473085604447316E-2</v>
      </c>
      <c r="K51" s="2"/>
      <c r="L51" s="6">
        <f t="shared" si="22"/>
        <v>297.36999999999989</v>
      </c>
      <c r="M51" s="2"/>
      <c r="N51" s="7">
        <f t="shared" si="23"/>
        <v>5.1094501718213038E-2</v>
      </c>
      <c r="O51" s="11"/>
      <c r="P51" s="6">
        <v>10903.87</v>
      </c>
      <c r="Q51" s="2"/>
      <c r="R51" s="7">
        <f t="shared" si="24"/>
        <v>2.4856098366218632E-2</v>
      </c>
      <c r="S51" s="2"/>
      <c r="T51" s="6">
        <v>10176</v>
      </c>
      <c r="U51" s="2"/>
      <c r="V51" s="7">
        <f t="shared" si="25"/>
        <v>1.5562250531434951E-2</v>
      </c>
      <c r="W51" s="2"/>
      <c r="X51" s="6">
        <f t="shared" si="26"/>
        <v>727.8700000000008</v>
      </c>
      <c r="Y51" s="2"/>
      <c r="Z51" s="7">
        <f t="shared" si="27"/>
        <v>7.152810534591203E-2</v>
      </c>
    </row>
    <row r="52" spans="1:26" s="24" customFormat="1" hidden="1" outlineLevel="2" x14ac:dyDescent="0.3">
      <c r="A52" s="27"/>
      <c r="B52" s="11" t="str">
        <f>CONCATENATE("          ", "6008", " - ", "STUDENT HOURLY-FICA EXEMPT")</f>
        <v xml:space="preserve">          6008 - STUDENT HOURLY-FICA EXEMPT</v>
      </c>
      <c r="C52" s="11"/>
      <c r="D52" s="6">
        <v>1157.55</v>
      </c>
      <c r="E52" s="2"/>
      <c r="F52" s="7">
        <f t="shared" si="20"/>
        <v>3.3711097799402553E-3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1157.55</v>
      </c>
      <c r="M52" s="2"/>
      <c r="N52" s="7">
        <f t="shared" si="23"/>
        <v>0</v>
      </c>
      <c r="O52" s="11"/>
      <c r="P52" s="6">
        <v>1157.55</v>
      </c>
      <c r="Q52" s="2"/>
      <c r="R52" s="7">
        <f t="shared" si="24"/>
        <v>2.6387123712788558E-3</v>
      </c>
      <c r="S52" s="2"/>
      <c r="T52" s="6">
        <v>0</v>
      </c>
      <c r="U52" s="2"/>
      <c r="V52" s="7">
        <f t="shared" si="25"/>
        <v>0</v>
      </c>
      <c r="W52" s="2"/>
      <c r="X52" s="6">
        <f t="shared" si="26"/>
        <v>1157.55</v>
      </c>
      <c r="Y52" s="2"/>
      <c r="Z52" s="7">
        <f t="shared" si="27"/>
        <v>0</v>
      </c>
    </row>
    <row r="53" spans="1:26" s="24" customFormat="1" hidden="1" outlineLevel="2" x14ac:dyDescent="0.3">
      <c r="A53" s="27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3">
      <c r="A54" s="27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8" customFormat="1" outlineLevel="1" collapsed="1" x14ac:dyDescent="0.3">
      <c r="A55" s="29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39.619999999999997</v>
      </c>
      <c r="E55" s="1"/>
      <c r="F55" s="5">
        <f t="shared" ref="F55:F69" si="28">IF(D$12=0,0,D55/D$12)</f>
        <v>1.1538453585696766E-4</v>
      </c>
      <c r="G55" s="1"/>
      <c r="H55" s="1">
        <f>SUM(OSRRefH22_2x_0)</f>
        <v>200</v>
      </c>
      <c r="I55" s="1"/>
      <c r="J55" s="5">
        <f t="shared" ref="J55:J69" si="29">IF(H$12=0,0,H55/H$12)</f>
        <v>5.3172115479200395E-4</v>
      </c>
      <c r="K55" s="1"/>
      <c r="L55" s="1">
        <f t="shared" ref="L55:L69" si="30">+D55-H55</f>
        <v>-160.38</v>
      </c>
      <c r="M55" s="1"/>
      <c r="N55" s="5">
        <f t="shared" ref="N55:N69" si="31">IF(H55=0,0,L55/H55)</f>
        <v>-0.80189999999999995</v>
      </c>
      <c r="O55" s="14"/>
      <c r="P55" s="1">
        <f>SUM(OSRRefP22_2x_0)</f>
        <v>85.04</v>
      </c>
      <c r="Q55" s="1"/>
      <c r="R55" s="5">
        <f t="shared" ref="R55:R69" si="32">IF(P$12=0,0,P55/P$12)</f>
        <v>1.938543475906474E-4</v>
      </c>
      <c r="S55" s="1"/>
      <c r="T55" s="1">
        <f>SUM(OSRRefT22_2x_0)</f>
        <v>400</v>
      </c>
      <c r="U55" s="1"/>
      <c r="V55" s="5">
        <f t="shared" ref="V55:V69" si="33">IF(T$12=0,0,T55/T$12)</f>
        <v>6.1172368441175123E-4</v>
      </c>
      <c r="W55" s="1"/>
      <c r="X55" s="1">
        <f t="shared" ref="X55:X69" si="34">+P55-T55</f>
        <v>-314.95999999999998</v>
      </c>
      <c r="Y55" s="1"/>
      <c r="Z55" s="5">
        <f t="shared" ref="Z55:Z69" si="35">IF(T55=0,0,X55/T55)</f>
        <v>-0.78739999999999999</v>
      </c>
    </row>
    <row r="56" spans="1:26" s="24" customFormat="1" hidden="1" outlineLevel="2" x14ac:dyDescent="0.3">
      <c r="A56" s="27"/>
      <c r="B56" s="11" t="str">
        <f>CONCATENATE("          ", "6362", " - ", "ADVERTISING EXPENSE")</f>
        <v xml:space="preserve">          6362 - ADVERTISING EXPENSE</v>
      </c>
      <c r="C56" s="11"/>
      <c r="D56" s="6">
        <v>39.619999999999997</v>
      </c>
      <c r="E56" s="2"/>
      <c r="F56" s="7">
        <f t="shared" si="28"/>
        <v>1.1538453585696766E-4</v>
      </c>
      <c r="G56" s="2"/>
      <c r="H56" s="6">
        <v>200</v>
      </c>
      <c r="I56" s="2"/>
      <c r="J56" s="7">
        <f t="shared" si="29"/>
        <v>5.3172115479200395E-4</v>
      </c>
      <c r="K56" s="2"/>
      <c r="L56" s="6">
        <f t="shared" si="30"/>
        <v>-160.38</v>
      </c>
      <c r="M56" s="2"/>
      <c r="N56" s="7">
        <f t="shared" si="31"/>
        <v>-0.80189999999999995</v>
      </c>
      <c r="O56" s="11"/>
      <c r="P56" s="6">
        <v>85.04</v>
      </c>
      <c r="Q56" s="2"/>
      <c r="R56" s="7">
        <f t="shared" si="32"/>
        <v>1.938543475906474E-4</v>
      </c>
      <c r="S56" s="2"/>
      <c r="T56" s="6">
        <v>400</v>
      </c>
      <c r="U56" s="2"/>
      <c r="V56" s="7">
        <f t="shared" si="33"/>
        <v>6.1172368441175123E-4</v>
      </c>
      <c r="W56" s="2"/>
      <c r="X56" s="6">
        <f t="shared" si="34"/>
        <v>-314.95999999999998</v>
      </c>
      <c r="Y56" s="2"/>
      <c r="Z56" s="7">
        <f t="shared" si="35"/>
        <v>-0.78739999999999999</v>
      </c>
    </row>
    <row r="57" spans="1:26" s="28" customFormat="1" outlineLevel="1" collapsed="1" x14ac:dyDescent="0.3">
      <c r="A57" s="29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SUM(OSRRefD22_3x_0)</f>
        <v>280.44</v>
      </c>
      <c r="E57" s="1"/>
      <c r="F57" s="5">
        <f t="shared" si="28"/>
        <v>8.1671981917536636E-4</v>
      </c>
      <c r="G57" s="1"/>
      <c r="H57" s="1">
        <f>SUM(OSRRefH22_3x_0)</f>
        <v>0</v>
      </c>
      <c r="I57" s="1"/>
      <c r="J57" s="5">
        <f t="shared" si="29"/>
        <v>0</v>
      </c>
      <c r="K57" s="1"/>
      <c r="L57" s="1">
        <f t="shared" si="30"/>
        <v>280.44</v>
      </c>
      <c r="M57" s="1"/>
      <c r="N57" s="5">
        <f t="shared" si="31"/>
        <v>0</v>
      </c>
      <c r="O57" s="14"/>
      <c r="P57" s="1">
        <f>SUM(OSRRefP22_3x_0)</f>
        <v>560.88</v>
      </c>
      <c r="Q57" s="1"/>
      <c r="R57" s="5">
        <f t="shared" si="32"/>
        <v>1.2785633405061419E-3</v>
      </c>
      <c r="S57" s="1"/>
      <c r="T57" s="1">
        <f>SUM(OSRRefT22_3x_0)</f>
        <v>0</v>
      </c>
      <c r="U57" s="1"/>
      <c r="V57" s="5">
        <f t="shared" si="33"/>
        <v>0</v>
      </c>
      <c r="W57" s="1"/>
      <c r="X57" s="1">
        <f t="shared" si="34"/>
        <v>560.88</v>
      </c>
      <c r="Y57" s="1"/>
      <c r="Z57" s="5">
        <f t="shared" si="35"/>
        <v>0</v>
      </c>
    </row>
    <row r="58" spans="1:26" s="24" customFormat="1" hidden="1" outlineLevel="2" x14ac:dyDescent="0.3">
      <c r="A58" s="27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280.44</v>
      </c>
      <c r="E58" s="2"/>
      <c r="F58" s="7">
        <f t="shared" si="28"/>
        <v>8.1671981917536636E-4</v>
      </c>
      <c r="G58" s="2"/>
      <c r="H58" s="6"/>
      <c r="I58" s="2"/>
      <c r="J58" s="7">
        <f t="shared" si="29"/>
        <v>0</v>
      </c>
      <c r="K58" s="2"/>
      <c r="L58" s="6">
        <f t="shared" si="30"/>
        <v>280.44</v>
      </c>
      <c r="M58" s="2"/>
      <c r="N58" s="7">
        <f t="shared" si="31"/>
        <v>0</v>
      </c>
      <c r="O58" s="11"/>
      <c r="P58" s="6">
        <v>560.88</v>
      </c>
      <c r="Q58" s="2"/>
      <c r="R58" s="7">
        <f t="shared" si="32"/>
        <v>1.2785633405061419E-3</v>
      </c>
      <c r="S58" s="2"/>
      <c r="T58" s="6"/>
      <c r="U58" s="2"/>
      <c r="V58" s="7">
        <f t="shared" si="33"/>
        <v>0</v>
      </c>
      <c r="W58" s="2"/>
      <c r="X58" s="6">
        <f t="shared" si="34"/>
        <v>560.88</v>
      </c>
      <c r="Y58" s="2"/>
      <c r="Z58" s="7">
        <f t="shared" si="35"/>
        <v>0</v>
      </c>
    </row>
    <row r="59" spans="1:26" s="28" customFormat="1" outlineLevel="1" collapsed="1" x14ac:dyDescent="0.3">
      <c r="A59" s="29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SUM(OSRRefD22_4x_0)</f>
        <v>0</v>
      </c>
      <c r="E59" s="1"/>
      <c r="F59" s="5">
        <f t="shared" si="28"/>
        <v>0</v>
      </c>
      <c r="G59" s="1"/>
      <c r="H59" s="1">
        <f>SUM(OSRRefH22_4x_0)</f>
        <v>20</v>
      </c>
      <c r="I59" s="1"/>
      <c r="J59" s="5">
        <f t="shared" si="29"/>
        <v>5.3172115479200399E-5</v>
      </c>
      <c r="K59" s="1"/>
      <c r="L59" s="1">
        <f t="shared" si="30"/>
        <v>-20</v>
      </c>
      <c r="M59" s="1"/>
      <c r="N59" s="5">
        <f t="shared" si="31"/>
        <v>-1</v>
      </c>
      <c r="O59" s="14"/>
      <c r="P59" s="1">
        <f>SUM(OSRRefP22_4x_0)</f>
        <v>0</v>
      </c>
      <c r="Q59" s="1"/>
      <c r="R59" s="5">
        <f t="shared" si="32"/>
        <v>0</v>
      </c>
      <c r="S59" s="1"/>
      <c r="T59" s="1">
        <f>SUM(OSRRefT22_4x_0)</f>
        <v>40</v>
      </c>
      <c r="U59" s="1"/>
      <c r="V59" s="5">
        <f t="shared" si="33"/>
        <v>6.1172368441175115E-5</v>
      </c>
      <c r="W59" s="1"/>
      <c r="X59" s="1">
        <f t="shared" si="34"/>
        <v>-40</v>
      </c>
      <c r="Y59" s="1"/>
      <c r="Z59" s="5">
        <f t="shared" si="35"/>
        <v>-1</v>
      </c>
    </row>
    <row r="60" spans="1:26" s="24" customFormat="1" hidden="1" outlineLevel="2" x14ac:dyDescent="0.3">
      <c r="A60" s="27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28"/>
        <v>0</v>
      </c>
      <c r="G60" s="2"/>
      <c r="H60" s="6">
        <v>20</v>
      </c>
      <c r="I60" s="2"/>
      <c r="J60" s="7">
        <f t="shared" si="29"/>
        <v>5.3172115479200399E-5</v>
      </c>
      <c r="K60" s="2"/>
      <c r="L60" s="6">
        <f t="shared" si="30"/>
        <v>-20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40</v>
      </c>
      <c r="U60" s="2"/>
      <c r="V60" s="7">
        <f t="shared" si="33"/>
        <v>6.1172368441175115E-5</v>
      </c>
      <c r="W60" s="2"/>
      <c r="X60" s="6">
        <f t="shared" si="34"/>
        <v>-40</v>
      </c>
      <c r="Y60" s="2"/>
      <c r="Z60" s="7">
        <f t="shared" si="35"/>
        <v>-1</v>
      </c>
    </row>
    <row r="61" spans="1:26" s="28" customFormat="1" outlineLevel="1" collapsed="1" x14ac:dyDescent="0.3">
      <c r="A61" s="29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0</v>
      </c>
      <c r="E61" s="1"/>
      <c r="F61" s="5">
        <f t="shared" si="28"/>
        <v>0</v>
      </c>
      <c r="G61" s="1"/>
      <c r="H61" s="1">
        <f>SUM(OSRRefH22_5x_0)</f>
        <v>15</v>
      </c>
      <c r="I61" s="1"/>
      <c r="J61" s="5">
        <f t="shared" si="29"/>
        <v>3.9879086609400298E-5</v>
      </c>
      <c r="K61" s="1"/>
      <c r="L61" s="1">
        <f t="shared" si="30"/>
        <v>-15</v>
      </c>
      <c r="M61" s="1"/>
      <c r="N61" s="5">
        <f t="shared" si="31"/>
        <v>-1</v>
      </c>
      <c r="O61" s="14"/>
      <c r="P61" s="1">
        <f>SUM(OSRRefP22_5x_0)</f>
        <v>93.19</v>
      </c>
      <c r="Q61" s="1"/>
      <c r="R61" s="5">
        <f t="shared" si="32"/>
        <v>2.1243281575696648E-4</v>
      </c>
      <c r="S61" s="1"/>
      <c r="T61" s="1">
        <f>SUM(OSRRefT22_5x_0)</f>
        <v>30</v>
      </c>
      <c r="U61" s="1"/>
      <c r="V61" s="5">
        <f t="shared" si="33"/>
        <v>4.5879276330881339E-5</v>
      </c>
      <c r="W61" s="1"/>
      <c r="X61" s="1">
        <f t="shared" si="34"/>
        <v>63.19</v>
      </c>
      <c r="Y61" s="1"/>
      <c r="Z61" s="5">
        <f t="shared" si="35"/>
        <v>2.1063333333333332</v>
      </c>
    </row>
    <row r="62" spans="1:26" s="24" customFormat="1" hidden="1" outlineLevel="2" x14ac:dyDescent="0.3">
      <c r="A62" s="27"/>
      <c r="B62" s="11" t="str">
        <f>CONCATENATE("          ", "6305", " - ", "FREIGHT OUT")</f>
        <v xml:space="preserve">          6305 - FREIGHT OUT</v>
      </c>
      <c r="C62" s="11"/>
      <c r="D62" s="6"/>
      <c r="E62" s="2"/>
      <c r="F62" s="7">
        <f t="shared" si="28"/>
        <v>0</v>
      </c>
      <c r="G62" s="2"/>
      <c r="H62" s="6">
        <v>15</v>
      </c>
      <c r="I62" s="2"/>
      <c r="J62" s="7">
        <f t="shared" si="29"/>
        <v>3.9879086609400298E-5</v>
      </c>
      <c r="K62" s="2"/>
      <c r="L62" s="6">
        <f t="shared" si="30"/>
        <v>-15</v>
      </c>
      <c r="M62" s="2"/>
      <c r="N62" s="7">
        <f t="shared" si="31"/>
        <v>-1</v>
      </c>
      <c r="O62" s="11"/>
      <c r="P62" s="6">
        <v>93.19</v>
      </c>
      <c r="Q62" s="2"/>
      <c r="R62" s="7">
        <f t="shared" si="32"/>
        <v>2.1243281575696648E-4</v>
      </c>
      <c r="S62" s="2"/>
      <c r="T62" s="6">
        <v>30</v>
      </c>
      <c r="U62" s="2"/>
      <c r="V62" s="7">
        <f t="shared" si="33"/>
        <v>4.5879276330881339E-5</v>
      </c>
      <c r="W62" s="2"/>
      <c r="X62" s="6">
        <f t="shared" si="34"/>
        <v>63.19</v>
      </c>
      <c r="Y62" s="2"/>
      <c r="Z62" s="7">
        <f t="shared" si="35"/>
        <v>2.1063333333333332</v>
      </c>
    </row>
    <row r="63" spans="1:26" s="28" customFormat="1" outlineLevel="1" collapsed="1" x14ac:dyDescent="0.3">
      <c r="A63" s="29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30</v>
      </c>
      <c r="I63" s="1"/>
      <c r="J63" s="5">
        <f t="shared" si="29"/>
        <v>7.9758173218800595E-5</v>
      </c>
      <c r="K63" s="1"/>
      <c r="L63" s="1">
        <f t="shared" si="30"/>
        <v>-30</v>
      </c>
      <c r="M63" s="1"/>
      <c r="N63" s="5">
        <f t="shared" si="31"/>
        <v>-1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60</v>
      </c>
      <c r="U63" s="1"/>
      <c r="V63" s="5">
        <f t="shared" si="33"/>
        <v>9.1758552661762679E-5</v>
      </c>
      <c r="W63" s="1"/>
      <c r="X63" s="1">
        <f t="shared" si="34"/>
        <v>-60</v>
      </c>
      <c r="Y63" s="1"/>
      <c r="Z63" s="5">
        <f t="shared" si="35"/>
        <v>-1</v>
      </c>
    </row>
    <row r="64" spans="1:26" s="24" customFormat="1" hidden="1" outlineLevel="2" x14ac:dyDescent="0.3">
      <c r="A64" s="27"/>
      <c r="B64" s="11" t="str">
        <f>CONCATENATE("          ", "6279", " - ", "GENERAL EXPENSE")</f>
        <v xml:space="preserve">          6279 - GENERAL EXPENSE</v>
      </c>
      <c r="C64" s="11"/>
      <c r="D64" s="6"/>
      <c r="E64" s="2"/>
      <c r="F64" s="7">
        <f t="shared" si="28"/>
        <v>0</v>
      </c>
      <c r="G64" s="2"/>
      <c r="H64" s="6">
        <v>30</v>
      </c>
      <c r="I64" s="2"/>
      <c r="J64" s="7">
        <f t="shared" si="29"/>
        <v>7.9758173218800595E-5</v>
      </c>
      <c r="K64" s="2"/>
      <c r="L64" s="6">
        <f t="shared" si="30"/>
        <v>-30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60</v>
      </c>
      <c r="U64" s="2"/>
      <c r="V64" s="7">
        <f t="shared" si="33"/>
        <v>9.1758552661762679E-5</v>
      </c>
      <c r="W64" s="2"/>
      <c r="X64" s="6">
        <f t="shared" si="34"/>
        <v>-60</v>
      </c>
      <c r="Y64" s="2"/>
      <c r="Z64" s="7">
        <f t="shared" si="35"/>
        <v>-1</v>
      </c>
    </row>
    <row r="65" spans="1:26" s="28" customFormat="1" outlineLevel="1" collapsed="1" x14ac:dyDescent="0.3">
      <c r="A65" s="29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2020</v>
      </c>
      <c r="E65" s="1"/>
      <c r="F65" s="5">
        <f t="shared" si="28"/>
        <v>5.8828057150700332E-3</v>
      </c>
      <c r="G65" s="1"/>
      <c r="H65" s="1">
        <f>SUM(OSRRefH22_7x_0)</f>
        <v>2020</v>
      </c>
      <c r="I65" s="1"/>
      <c r="J65" s="5">
        <f t="shared" si="29"/>
        <v>5.3703836633992403E-3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3490</v>
      </c>
      <c r="Q65" s="1"/>
      <c r="R65" s="5">
        <f t="shared" si="32"/>
        <v>7.9556875951476876E-3</v>
      </c>
      <c r="S65" s="1"/>
      <c r="T65" s="1">
        <f>SUM(OSRRefT22_7x_0)</f>
        <v>3490</v>
      </c>
      <c r="U65" s="1"/>
      <c r="V65" s="5">
        <f t="shared" si="33"/>
        <v>5.3372891464925293E-3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3">
      <c r="A66" s="27"/>
      <c r="B66" s="11" t="str">
        <f>CONCATENATE("          ", "6408", " - ", "INVENTORY ADJUSTMENT")</f>
        <v xml:space="preserve">          6408 - INVENTORY ADJUSTMENT</v>
      </c>
      <c r="C66" s="11"/>
      <c r="D66" s="6">
        <v>2020</v>
      </c>
      <c r="E66" s="2"/>
      <c r="F66" s="7">
        <f t="shared" si="28"/>
        <v>5.8828057150700332E-3</v>
      </c>
      <c r="G66" s="2"/>
      <c r="H66" s="6">
        <v>2020</v>
      </c>
      <c r="I66" s="2"/>
      <c r="J66" s="7">
        <f t="shared" si="29"/>
        <v>5.3703836633992403E-3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3490</v>
      </c>
      <c r="Q66" s="2"/>
      <c r="R66" s="7">
        <f t="shared" si="32"/>
        <v>7.9556875951476876E-3</v>
      </c>
      <c r="S66" s="2"/>
      <c r="T66" s="6">
        <v>3490</v>
      </c>
      <c r="U66" s="2"/>
      <c r="V66" s="7">
        <f t="shared" si="33"/>
        <v>5.3372891464925293E-3</v>
      </c>
      <c r="W66" s="2"/>
      <c r="X66" s="6">
        <f t="shared" si="34"/>
        <v>0</v>
      </c>
      <c r="Y66" s="2"/>
      <c r="Z66" s="7">
        <f t="shared" si="35"/>
        <v>0</v>
      </c>
    </row>
    <row r="67" spans="1:26" s="28" customFormat="1" outlineLevel="1" collapsed="1" x14ac:dyDescent="0.3">
      <c r="A67" s="29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SUM(OSRRefD22_8x_0)</f>
        <v>1167.48</v>
      </c>
      <c r="E67" s="1"/>
      <c r="F67" s="5">
        <f t="shared" si="28"/>
        <v>3.4000287209059216E-3</v>
      </c>
      <c r="G67" s="1"/>
      <c r="H67" s="1">
        <f>SUM(OSRRefH22_8x_0)</f>
        <v>310</v>
      </c>
      <c r="I67" s="1"/>
      <c r="J67" s="5">
        <f t="shared" si="29"/>
        <v>8.2416778992760618E-4</v>
      </c>
      <c r="K67" s="1"/>
      <c r="L67" s="1">
        <f t="shared" si="30"/>
        <v>857.48</v>
      </c>
      <c r="M67" s="1"/>
      <c r="N67" s="5">
        <f t="shared" si="31"/>
        <v>2.7660645161290325</v>
      </c>
      <c r="O67" s="14"/>
      <c r="P67" s="1">
        <f>SUM(OSRRefP22_8x_0)</f>
        <v>3209.2799999999997</v>
      </c>
      <c r="Q67" s="1"/>
      <c r="R67" s="5">
        <f t="shared" si="32"/>
        <v>7.315767646233688E-3</v>
      </c>
      <c r="S67" s="1"/>
      <c r="T67" s="1">
        <f>SUM(OSRRefT22_8x_0)</f>
        <v>620</v>
      </c>
      <c r="U67" s="1"/>
      <c r="V67" s="5">
        <f t="shared" si="33"/>
        <v>9.4817171083821439E-4</v>
      </c>
      <c r="W67" s="1"/>
      <c r="X67" s="1">
        <f t="shared" si="34"/>
        <v>2589.2799999999997</v>
      </c>
      <c r="Y67" s="1"/>
      <c r="Z67" s="5">
        <f t="shared" si="35"/>
        <v>4.1762580645161282</v>
      </c>
    </row>
    <row r="68" spans="1:26" s="24" customFormat="1" hidden="1" outlineLevel="2" x14ac:dyDescent="0.3">
      <c r="A68" s="27"/>
      <c r="B68" s="11" t="str">
        <f>CONCATENATE("          ", "6241", " - ", "OFFICE EXPENSE")</f>
        <v xml:space="preserve">          6241 - OFFICE EXPENSE</v>
      </c>
      <c r="C68" s="11"/>
      <c r="D68" s="6">
        <v>288.48</v>
      </c>
      <c r="E68" s="2"/>
      <c r="F68" s="7">
        <f t="shared" si="28"/>
        <v>8.4013455083336794E-4</v>
      </c>
      <c r="G68" s="2"/>
      <c r="H68" s="6">
        <v>110</v>
      </c>
      <c r="I68" s="2"/>
      <c r="J68" s="7">
        <f t="shared" si="29"/>
        <v>2.9244663513560218E-4</v>
      </c>
      <c r="K68" s="2"/>
      <c r="L68" s="6">
        <f t="shared" si="30"/>
        <v>178.48000000000002</v>
      </c>
      <c r="M68" s="2"/>
      <c r="N68" s="7">
        <f t="shared" si="31"/>
        <v>1.6225454545454547</v>
      </c>
      <c r="O68" s="11"/>
      <c r="P68" s="6">
        <v>297.27999999999997</v>
      </c>
      <c r="Q68" s="2"/>
      <c r="R68" s="7">
        <f t="shared" si="32"/>
        <v>6.7766957257464318E-4</v>
      </c>
      <c r="S68" s="2"/>
      <c r="T68" s="6">
        <v>220</v>
      </c>
      <c r="U68" s="2"/>
      <c r="V68" s="7">
        <f t="shared" si="33"/>
        <v>3.3644802642646316E-4</v>
      </c>
      <c r="W68" s="2"/>
      <c r="X68" s="6">
        <f t="shared" si="34"/>
        <v>77.279999999999973</v>
      </c>
      <c r="Y68" s="2"/>
      <c r="Z68" s="7">
        <f t="shared" si="35"/>
        <v>0.35127272727272713</v>
      </c>
    </row>
    <row r="69" spans="1:26" s="24" customFormat="1" hidden="1" outlineLevel="2" x14ac:dyDescent="0.3">
      <c r="A69" s="27"/>
      <c r="B69" s="11" t="str">
        <f>CONCATENATE("          ", "6247", " - ", "STORE SUPPLIES")</f>
        <v xml:space="preserve">          6247 - STORE SUPPLIES</v>
      </c>
      <c r="C69" s="11"/>
      <c r="D69" s="6">
        <v>879</v>
      </c>
      <c r="E69" s="2"/>
      <c r="F69" s="7">
        <f t="shared" si="28"/>
        <v>2.5598941700725538E-3</v>
      </c>
      <c r="G69" s="2"/>
      <c r="H69" s="6">
        <v>200</v>
      </c>
      <c r="I69" s="2"/>
      <c r="J69" s="7">
        <f t="shared" si="29"/>
        <v>5.3172115479200395E-4</v>
      </c>
      <c r="K69" s="2"/>
      <c r="L69" s="6">
        <f t="shared" si="30"/>
        <v>679</v>
      </c>
      <c r="M69" s="2"/>
      <c r="N69" s="7">
        <f t="shared" si="31"/>
        <v>3.395</v>
      </c>
      <c r="O69" s="11"/>
      <c r="P69" s="6">
        <v>2912</v>
      </c>
      <c r="Q69" s="2"/>
      <c r="R69" s="7">
        <f t="shared" si="32"/>
        <v>6.6380980736590453E-3</v>
      </c>
      <c r="S69" s="2"/>
      <c r="T69" s="6">
        <v>400</v>
      </c>
      <c r="U69" s="2"/>
      <c r="V69" s="7">
        <f t="shared" si="33"/>
        <v>6.1172368441175123E-4</v>
      </c>
      <c r="W69" s="2"/>
      <c r="X69" s="6">
        <f t="shared" si="34"/>
        <v>2512</v>
      </c>
      <c r="Y69" s="2"/>
      <c r="Z69" s="7">
        <f t="shared" si="35"/>
        <v>6.28</v>
      </c>
    </row>
    <row r="70" spans="1:26" s="28" customFormat="1" outlineLevel="1" collapsed="1" x14ac:dyDescent="0.3">
      <c r="A70" s="29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SUM(OSRRefD22_9x_0)</f>
        <v>168.2</v>
      </c>
      <c r="E70" s="1"/>
      <c r="F70" s="5">
        <f t="shared" ref="F70:F71" si="36">IF(D$12=0,0,D70/D$12)</f>
        <v>4.8984550558157393E-4</v>
      </c>
      <c r="G70" s="1"/>
      <c r="H70" s="1">
        <f>SUM(OSRRefH22_9x_0)</f>
        <v>325</v>
      </c>
      <c r="I70" s="1"/>
      <c r="J70" s="5">
        <f t="shared" ref="J70:J71" si="37">IF(H$12=0,0,H70/H$12)</f>
        <v>8.6404687653700643E-4</v>
      </c>
      <c r="K70" s="1"/>
      <c r="L70" s="1">
        <f t="shared" ref="L70:L71" si="38">+D70-H70</f>
        <v>-156.80000000000001</v>
      </c>
      <c r="M70" s="1"/>
      <c r="N70" s="5">
        <f t="shared" ref="N70:N71" si="39">IF(H70=0,0,L70/H70)</f>
        <v>-0.4824615384615385</v>
      </c>
      <c r="O70" s="14"/>
      <c r="P70" s="1">
        <f>SUM(OSRRefP22_9x_0)</f>
        <v>451.5</v>
      </c>
      <c r="Q70" s="1"/>
      <c r="R70" s="5">
        <f t="shared" ref="R70:R71" si="40">IF(P$12=0,0,P70/P$12)</f>
        <v>1.0292243407476163E-3</v>
      </c>
      <c r="S70" s="1"/>
      <c r="T70" s="1">
        <f>SUM(OSRRefT22_9x_0)</f>
        <v>650</v>
      </c>
      <c r="U70" s="1"/>
      <c r="V70" s="5">
        <f t="shared" ref="V70:V71" si="41">IF(T$12=0,0,T70/T$12)</f>
        <v>9.9405098716909561E-4</v>
      </c>
      <c r="W70" s="1"/>
      <c r="X70" s="1">
        <f t="shared" ref="X70:X71" si="42">+P70-T70</f>
        <v>-198.5</v>
      </c>
      <c r="Y70" s="1"/>
      <c r="Z70" s="5">
        <f t="shared" ref="Z70:Z71" si="43">IF(T70=0,0,X70/T70)</f>
        <v>-0.30538461538461537</v>
      </c>
    </row>
    <row r="71" spans="1:26" s="24" customFormat="1" hidden="1" outlineLevel="2" x14ac:dyDescent="0.3">
      <c r="A71" s="27"/>
      <c r="B71" s="11" t="str">
        <f>CONCATENATE("          ", "6309", " - ", "TELEPHONE")</f>
        <v xml:space="preserve">          6309 - TELEPHONE</v>
      </c>
      <c r="C71" s="11"/>
      <c r="D71" s="6">
        <v>168.2</v>
      </c>
      <c r="E71" s="2"/>
      <c r="F71" s="7">
        <f t="shared" si="36"/>
        <v>4.8984550558157393E-4</v>
      </c>
      <c r="G71" s="2"/>
      <c r="H71" s="6">
        <v>325</v>
      </c>
      <c r="I71" s="2"/>
      <c r="J71" s="7">
        <f t="shared" si="37"/>
        <v>8.6404687653700643E-4</v>
      </c>
      <c r="K71" s="2"/>
      <c r="L71" s="6">
        <f t="shared" si="38"/>
        <v>-156.80000000000001</v>
      </c>
      <c r="M71" s="2"/>
      <c r="N71" s="7">
        <f t="shared" si="39"/>
        <v>-0.4824615384615385</v>
      </c>
      <c r="O71" s="11"/>
      <c r="P71" s="6">
        <v>451.5</v>
      </c>
      <c r="Q71" s="2"/>
      <c r="R71" s="7">
        <f t="shared" si="40"/>
        <v>1.0292243407476163E-3</v>
      </c>
      <c r="S71" s="2"/>
      <c r="T71" s="6">
        <v>650</v>
      </c>
      <c r="U71" s="2"/>
      <c r="V71" s="7">
        <f t="shared" si="41"/>
        <v>9.9405098716909561E-4</v>
      </c>
      <c r="W71" s="2"/>
      <c r="X71" s="6">
        <f t="shared" si="42"/>
        <v>-198.5</v>
      </c>
      <c r="Y71" s="2"/>
      <c r="Z71" s="7">
        <f t="shared" si="43"/>
        <v>-0.30538461538461537</v>
      </c>
    </row>
    <row r="72" spans="1:26" s="53" customFormat="1" x14ac:dyDescent="0.3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3">
      <c r="A73" s="10"/>
      <c r="B73" s="25" t="s">
        <v>293</v>
      </c>
      <c r="C73" s="10"/>
      <c r="D73" s="4">
        <f>SUM(OSRRefD25x_0)</f>
        <v>2187.9499999999998</v>
      </c>
      <c r="E73" s="4"/>
      <c r="F73" s="12">
        <f t="shared" ref="F73:F76" si="44">IF(D$12=0,0,D73/D$12)</f>
        <v>6.3719231506373653E-3</v>
      </c>
      <c r="G73" s="4"/>
      <c r="H73" s="4">
        <f>SUM(OSRRefH25x_0)</f>
        <v>3589</v>
      </c>
      <c r="I73" s="4"/>
      <c r="J73" s="12">
        <f t="shared" ref="J73:J76" si="45">IF(H$12=0,0,H73/H$12)</f>
        <v>9.5417361227425109E-3</v>
      </c>
      <c r="K73" s="4"/>
      <c r="L73" s="4">
        <f t="shared" ref="L73:L76" si="46">+D73-H73</f>
        <v>-1401.0500000000002</v>
      </c>
      <c r="M73" s="4"/>
      <c r="N73" s="12">
        <f t="shared" ref="N73:N76" si="47">IF(H73=0,0,L73/H73)</f>
        <v>-0.39037336305377546</v>
      </c>
      <c r="O73" s="10"/>
      <c r="P73" s="4">
        <f>SUM(OSRRefP25x_0)</f>
        <v>2381.33</v>
      </c>
      <c r="Q73" s="4"/>
      <c r="R73" s="12">
        <f t="shared" ref="R73:R76" si="48">IF(P$12=0,0,P73/P$12)</f>
        <v>5.4284004415338233E-3</v>
      </c>
      <c r="S73" s="4"/>
      <c r="T73" s="4">
        <f>SUM(OSRRefT25x_0)</f>
        <v>6240</v>
      </c>
      <c r="U73" s="4"/>
      <c r="V73" s="12">
        <f t="shared" ref="V73:V76" si="49">IF(T$12=0,0,T73/T$12)</f>
        <v>9.5428894768233193E-3</v>
      </c>
      <c r="W73" s="4"/>
      <c r="X73" s="4">
        <f t="shared" ref="X73:X76" si="50">+P73-T73</f>
        <v>-3858.67</v>
      </c>
      <c r="Y73" s="4"/>
      <c r="Z73" s="12">
        <f t="shared" ref="Z73:Z76" si="51">IF(T73=0,0,X73/T73)</f>
        <v>-0.61837660256410254</v>
      </c>
    </row>
    <row r="74" spans="1:26" s="24" customFormat="1" hidden="1" outlineLevel="1" x14ac:dyDescent="0.3">
      <c r="A74" s="44"/>
      <c r="B74" s="11" t="str">
        <f>CONCATENATE("          ", "4187", " - ", "NON-TAXABLE SALES-COMPUTER REP")</f>
        <v xml:space="preserve">          4187 - NON-TAXABLE SALES-COMPUTER REP</v>
      </c>
      <c r="C74" s="11"/>
      <c r="D74" s="2">
        <f>0</f>
        <v>0</v>
      </c>
      <c r="E74" s="2"/>
      <c r="F74" s="19">
        <f t="shared" si="44"/>
        <v>0</v>
      </c>
      <c r="G74" s="2"/>
      <c r="H74" s="2"/>
      <c r="I74" s="2"/>
      <c r="J74" s="19">
        <f t="shared" si="45"/>
        <v>0</v>
      </c>
      <c r="K74" s="2"/>
      <c r="L74" s="2">
        <f t="shared" si="46"/>
        <v>0</v>
      </c>
      <c r="M74" s="2"/>
      <c r="N74" s="19">
        <f t="shared" si="47"/>
        <v>0</v>
      </c>
      <c r="O74" s="11"/>
      <c r="P74" s="2">
        <f>0</f>
        <v>0</v>
      </c>
      <c r="Q74" s="2"/>
      <c r="R74" s="19">
        <f t="shared" si="48"/>
        <v>0</v>
      </c>
      <c r="S74" s="2"/>
      <c r="T74" s="2"/>
      <c r="U74" s="2"/>
      <c r="V74" s="19">
        <f t="shared" si="49"/>
        <v>0</v>
      </c>
      <c r="W74" s="2"/>
      <c r="X74" s="2">
        <f t="shared" si="50"/>
        <v>0</v>
      </c>
      <c r="Y74" s="2"/>
      <c r="Z74" s="19">
        <f t="shared" si="51"/>
        <v>0</v>
      </c>
    </row>
    <row r="75" spans="1:26" s="24" customFormat="1" hidden="1" outlineLevel="1" x14ac:dyDescent="0.3">
      <c r="A75" s="44"/>
      <c r="B75" s="11" t="str">
        <f>CONCATENATE("          ", "9087", " - ", "")</f>
        <v xml:space="preserve">          9087 - </v>
      </c>
      <c r="C75" s="11"/>
      <c r="D75" s="2">
        <f>--946.54</f>
        <v>946.54</v>
      </c>
      <c r="E75" s="2"/>
      <c r="F75" s="19">
        <f t="shared" si="44"/>
        <v>2.7565895651199945E-3</v>
      </c>
      <c r="G75" s="2"/>
      <c r="H75" s="2"/>
      <c r="I75" s="2"/>
      <c r="J75" s="19">
        <f t="shared" si="45"/>
        <v>0</v>
      </c>
      <c r="K75" s="2"/>
      <c r="L75" s="2">
        <f t="shared" si="46"/>
        <v>946.54</v>
      </c>
      <c r="M75" s="2"/>
      <c r="N75" s="19">
        <f t="shared" si="47"/>
        <v>0</v>
      </c>
      <c r="O75" s="11"/>
      <c r="P75" s="2">
        <f>--1020.01</f>
        <v>1020.01</v>
      </c>
      <c r="Q75" s="2"/>
      <c r="R75" s="19">
        <f t="shared" si="48"/>
        <v>2.3251807747640667E-3</v>
      </c>
      <c r="S75" s="2"/>
      <c r="T75" s="2"/>
      <c r="U75" s="2"/>
      <c r="V75" s="19">
        <f t="shared" si="49"/>
        <v>0</v>
      </c>
      <c r="W75" s="2"/>
      <c r="X75" s="2">
        <f t="shared" si="50"/>
        <v>1020.01</v>
      </c>
      <c r="Y75" s="2"/>
      <c r="Z75" s="19">
        <f t="shared" si="51"/>
        <v>0</v>
      </c>
    </row>
    <row r="76" spans="1:26" s="24" customFormat="1" hidden="1" outlineLevel="1" x14ac:dyDescent="0.3">
      <c r="A76" s="44"/>
      <c r="B76" s="11" t="str">
        <f>CONCATENATE("          ", "9150", " - ", "MISC. INCOME")</f>
        <v xml:space="preserve">          9150 - MISC. INCOME</v>
      </c>
      <c r="C76" s="11"/>
      <c r="D76" s="2">
        <f>--1241.41</f>
        <v>1241.4100000000001</v>
      </c>
      <c r="E76" s="2"/>
      <c r="F76" s="19">
        <f t="shared" si="44"/>
        <v>3.6153335855173712E-3</v>
      </c>
      <c r="G76" s="2"/>
      <c r="H76" s="2">
        <v>3589</v>
      </c>
      <c r="I76" s="2"/>
      <c r="J76" s="19">
        <f t="shared" si="45"/>
        <v>9.5417361227425109E-3</v>
      </c>
      <c r="K76" s="2"/>
      <c r="L76" s="2">
        <f t="shared" si="46"/>
        <v>-2347.59</v>
      </c>
      <c r="M76" s="2"/>
      <c r="N76" s="19">
        <f t="shared" si="47"/>
        <v>-0.65410699359152968</v>
      </c>
      <c r="O76" s="11"/>
      <c r="P76" s="2">
        <f>--1361.32</f>
        <v>1361.32</v>
      </c>
      <c r="Q76" s="2"/>
      <c r="R76" s="19">
        <f t="shared" si="48"/>
        <v>3.1032196667697565E-3</v>
      </c>
      <c r="S76" s="2"/>
      <c r="T76" s="2">
        <v>6240</v>
      </c>
      <c r="U76" s="2"/>
      <c r="V76" s="19">
        <f t="shared" si="49"/>
        <v>9.5428894768233193E-3</v>
      </c>
      <c r="W76" s="2"/>
      <c r="X76" s="2">
        <f t="shared" si="50"/>
        <v>-4878.68</v>
      </c>
      <c r="Y76" s="2"/>
      <c r="Z76" s="19">
        <f t="shared" si="51"/>
        <v>-0.78183974358974362</v>
      </c>
    </row>
    <row r="77" spans="1:26" x14ac:dyDescent="0.3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3">
      <c r="A78" s="10"/>
      <c r="B78" s="26" t="s">
        <v>277</v>
      </c>
      <c r="C78" s="26"/>
      <c r="D78" s="21">
        <f>+D30-D32+D73</f>
        <v>39728.07</v>
      </c>
      <c r="E78" s="13"/>
      <c r="F78" s="20">
        <f>IF(D$12=0,0,D78/D$12)</f>
        <v>0.11569926596272392</v>
      </c>
      <c r="G78" s="13"/>
      <c r="H78" s="21">
        <f>+H30-H32+H73</f>
        <v>25585.793015129999</v>
      </c>
      <c r="I78" s="13"/>
      <c r="J78" s="20">
        <f>IF(H$12=0,0,H78/H$12)</f>
        <v>6.8022537041370568E-2</v>
      </c>
      <c r="K78" s="16"/>
      <c r="L78" s="21">
        <f>+D78-H78</f>
        <v>14142.276984870001</v>
      </c>
      <c r="M78" s="16"/>
      <c r="N78" s="20">
        <f>IF(H78=0,0,L78/H78)</f>
        <v>0.55273944319439516</v>
      </c>
      <c r="O78" s="25"/>
      <c r="P78" s="21">
        <f>+P30-P32+P73</f>
        <v>35971.609999999957</v>
      </c>
      <c r="Q78" s="13"/>
      <c r="R78" s="20">
        <f>IF(P$12=0,0,P78/P$12)</f>
        <v>8.1999682365183429E-2</v>
      </c>
      <c r="S78" s="13"/>
      <c r="T78" s="21">
        <f>+T30-T32+T73</f>
        <v>40260.036654042502</v>
      </c>
      <c r="U78" s="13"/>
      <c r="V78" s="20">
        <f>IF(T$12=0,0,T78/T$12)</f>
        <v>6.1570044891407577E-2</v>
      </c>
      <c r="W78" s="16"/>
      <c r="X78" s="21">
        <f>+P78-T78</f>
        <v>-4288.4266540425451</v>
      </c>
      <c r="Y78" s="16"/>
      <c r="Z78" s="20">
        <f>IF(T78=0,0,X78/T78)</f>
        <v>-0.10651820044013659</v>
      </c>
    </row>
    <row r="79" spans="1:26" x14ac:dyDescent="0.3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">
      <c r="A80" s="52"/>
      <c r="B80" s="10" t="s">
        <v>128</v>
      </c>
      <c r="C80" s="10"/>
      <c r="D80" s="4">
        <v>21522.15</v>
      </c>
      <c r="E80" s="4"/>
      <c r="F80" s="12">
        <f>IF(D$12=0,0,D80/D$12)</f>
        <v>6.2678528228017089E-2</v>
      </c>
      <c r="G80" s="4"/>
      <c r="H80" s="4">
        <v>-27356</v>
      </c>
      <c r="I80" s="4"/>
      <c r="J80" s="12">
        <f>IF(H$12=0,0,H80/H$12)</f>
        <v>-7.2728819552450308E-2</v>
      </c>
      <c r="K80" s="4"/>
      <c r="L80" s="4">
        <f>+D80-H80</f>
        <v>48878.15</v>
      </c>
      <c r="M80" s="4"/>
      <c r="N80" s="12">
        <f>IF(H80=0,0,L80/H80)</f>
        <v>-1.7867433104255008</v>
      </c>
      <c r="O80" s="10"/>
      <c r="P80" s="4">
        <v>65553.27</v>
      </c>
      <c r="Q80" s="4"/>
      <c r="R80" s="12">
        <f>IF(P$12=0,0,P80/P$12)</f>
        <v>0.14943304783964675</v>
      </c>
      <c r="S80" s="4"/>
      <c r="T80" s="4">
        <v>73232</v>
      </c>
      <c r="U80" s="4"/>
      <c r="V80" s="12">
        <f>IF(T$12=0,0,T80/T$12)</f>
        <v>0.11199437214210341</v>
      </c>
      <c r="W80" s="4"/>
      <c r="X80" s="4">
        <f>+P80-T80</f>
        <v>-7678.7299999999959</v>
      </c>
      <c r="Y80" s="4"/>
      <c r="Z80" s="12">
        <f>IF(T80=0,0,X80/T80)</f>
        <v>-0.10485484487655664</v>
      </c>
    </row>
    <row r="81" spans="1:26" x14ac:dyDescent="0.3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126</v>
      </c>
      <c r="C82" s="26"/>
      <c r="D82" s="30">
        <f>+D78-D80</f>
        <v>18205.919999999998</v>
      </c>
      <c r="E82" s="13"/>
      <c r="F82" s="35">
        <f>IF(D$12=0,0,D82/D$12)</f>
        <v>5.3020737734706835E-2</v>
      </c>
      <c r="G82" s="13"/>
      <c r="H82" s="30">
        <f>+H78-H80</f>
        <v>52941.793015129995</v>
      </c>
      <c r="I82" s="13"/>
      <c r="J82" s="35">
        <f>IF(H$12=0,0,H82/H$12)</f>
        <v>0.14075135659382085</v>
      </c>
      <c r="K82" s="16"/>
      <c r="L82" s="30">
        <f>D82-H82</f>
        <v>-34735.873015129997</v>
      </c>
      <c r="M82" s="16"/>
      <c r="N82" s="35">
        <f>IF(H82=0,0,L82/H82)</f>
        <v>-0.65611440483708194</v>
      </c>
      <c r="O82" s="25"/>
      <c r="P82" s="30">
        <f>+P78-P80</f>
        <v>-29581.660000000047</v>
      </c>
      <c r="Q82" s="13"/>
      <c r="R82" s="35">
        <f>IF(P$12=0,0,P82/P$12)</f>
        <v>-6.7433365474463311E-2</v>
      </c>
      <c r="S82" s="13"/>
      <c r="T82" s="30">
        <f>+T78-T80</f>
        <v>-32971.963345957498</v>
      </c>
      <c r="U82" s="13"/>
      <c r="V82" s="35">
        <f>IF(T$12=0,0,T82/T$12)</f>
        <v>-5.042432725069583E-2</v>
      </c>
      <c r="W82" s="16"/>
      <c r="X82" s="30">
        <f>P82-T82</f>
        <v>3390.3033459574508</v>
      </c>
      <c r="Y82" s="16"/>
      <c r="Z82" s="35">
        <f>IF(T82=0,0,X82/T82)</f>
        <v>-0.10282382369483971</v>
      </c>
    </row>
    <row r="83" spans="1:26" ht="15" thickTop="1" x14ac:dyDescent="0.3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6" t="s">
        <v>294</v>
      </c>
      <c r="C85" s="26"/>
      <c r="D85" s="32">
        <f>SUM(D82:D84)</f>
        <v>18205.919999999998</v>
      </c>
      <c r="E85" s="13"/>
      <c r="F85" s="34">
        <f>IF(D$12=0,0,D85/D$12)</f>
        <v>5.3020737734706835E-2</v>
      </c>
      <c r="G85" s="13"/>
      <c r="H85" s="32">
        <f>SUM(H82:H84)</f>
        <v>52941.793015129995</v>
      </c>
      <c r="I85" s="13"/>
      <c r="J85" s="34">
        <f>IF(H$12=0,0,H85/H$12)</f>
        <v>0.14075135659382085</v>
      </c>
      <c r="K85" s="16"/>
      <c r="L85" s="32">
        <f>+D85-H85</f>
        <v>-34735.873015129997</v>
      </c>
      <c r="M85" s="16"/>
      <c r="N85" s="34">
        <f>IF(H85=0,0,L85/H85)</f>
        <v>-0.65611440483708194</v>
      </c>
      <c r="O85" s="25"/>
      <c r="P85" s="32">
        <f>SUM(P82:P84)</f>
        <v>-29581.660000000047</v>
      </c>
      <c r="Q85" s="13"/>
      <c r="R85" s="34">
        <f>IF(P$12=0,0,P85/P$12)</f>
        <v>-6.7433365474463311E-2</v>
      </c>
      <c r="S85" s="13"/>
      <c r="T85" s="32">
        <f>SUM(T82:T84)</f>
        <v>-32971.963345957498</v>
      </c>
      <c r="U85" s="13"/>
      <c r="V85" s="34">
        <f>IF(T$12=0,0,T85/T$12)</f>
        <v>-5.042432725069583E-2</v>
      </c>
      <c r="W85" s="16"/>
      <c r="X85" s="32">
        <f>+P85-T85</f>
        <v>3390.3033459574508</v>
      </c>
      <c r="Y85" s="16"/>
      <c r="Z85" s="34">
        <f>IF(T85=0,0,X85/T85)</f>
        <v>-0.10282382369483971</v>
      </c>
    </row>
    <row r="86" spans="1:26" ht="15" thickTop="1" x14ac:dyDescent="0.3">
      <c r="A86" s="9"/>
      <c r="C86" s="9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">
      <c r="A87" s="9"/>
      <c r="B87" s="61">
        <v>44470.835499687499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3">
      <c r="A88" s="9"/>
      <c r="B88" s="58" t="s">
        <v>56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A89" s="9"/>
      <c r="B89" s="55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1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199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6665.14</v>
      </c>
      <c r="E12" s="4"/>
      <c r="F12" s="12"/>
      <c r="G12" s="4"/>
      <c r="H12" s="4">
        <f>SUM(OSRRefH13x_0)</f>
        <v>12514</v>
      </c>
      <c r="I12" s="4"/>
      <c r="J12" s="12"/>
      <c r="K12" s="4"/>
      <c r="L12" s="4">
        <f t="shared" ref="L12:L15" si="0">+D12-H12</f>
        <v>-5848.86</v>
      </c>
      <c r="M12" s="4"/>
      <c r="N12" s="12">
        <f t="shared" ref="N12:N15" si="1">IF(H12=0,0,L12/H12)</f>
        <v>-0.46738532843215597</v>
      </c>
      <c r="O12" s="10"/>
      <c r="P12" s="4">
        <f>SUM(OSRRefP13x_0)</f>
        <v>6665.14</v>
      </c>
      <c r="Q12" s="4"/>
      <c r="R12" s="12"/>
      <c r="S12" s="4"/>
      <c r="T12" s="4">
        <f>SUM(OSRRefT13x_0)</f>
        <v>12514</v>
      </c>
      <c r="U12" s="4"/>
      <c r="V12" s="12"/>
      <c r="W12" s="4"/>
      <c r="X12" s="4">
        <f t="shared" ref="X12:X15" si="2">+P12-T12</f>
        <v>-5848.86</v>
      </c>
      <c r="Y12" s="4"/>
      <c r="Z12" s="12">
        <f t="shared" ref="Z12:Z15" si="3">IF(T12=0,0,X12/T12)</f>
        <v>-0.46738532843215597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--1234.92</f>
        <v>1234.92</v>
      </c>
      <c r="E13" s="2"/>
      <c r="F13" s="19"/>
      <c r="G13" s="2"/>
      <c r="H13" s="2">
        <v>2486</v>
      </c>
      <c r="I13" s="2"/>
      <c r="J13" s="19"/>
      <c r="K13" s="2"/>
      <c r="L13" s="2">
        <f t="shared" si="0"/>
        <v>-1251.08</v>
      </c>
      <c r="M13" s="2"/>
      <c r="N13" s="19">
        <f t="shared" si="1"/>
        <v>-0.50325020112630725</v>
      </c>
      <c r="O13" s="11"/>
      <c r="P13" s="2">
        <f>--1234.92</f>
        <v>1234.92</v>
      </c>
      <c r="Q13" s="2"/>
      <c r="R13" s="19"/>
      <c r="S13" s="2"/>
      <c r="T13" s="2">
        <v>2486</v>
      </c>
      <c r="U13" s="2"/>
      <c r="V13" s="19"/>
      <c r="W13" s="2"/>
      <c r="X13" s="2">
        <f t="shared" si="2"/>
        <v>-1251.08</v>
      </c>
      <c r="Y13" s="2"/>
      <c r="Z13" s="19">
        <f t="shared" si="3"/>
        <v>-0.50325020112630725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--5299.87</f>
        <v>5299.87</v>
      </c>
      <c r="E14" s="2"/>
      <c r="F14" s="19"/>
      <c r="G14" s="2"/>
      <c r="H14" s="2">
        <v>10028</v>
      </c>
      <c r="I14" s="2"/>
      <c r="J14" s="19"/>
      <c r="K14" s="2"/>
      <c r="L14" s="2">
        <f t="shared" si="0"/>
        <v>-4728.13</v>
      </c>
      <c r="M14" s="2"/>
      <c r="N14" s="19">
        <f t="shared" si="1"/>
        <v>-0.47149282010370963</v>
      </c>
      <c r="O14" s="11"/>
      <c r="P14" s="2">
        <f>--5299.87</f>
        <v>5299.87</v>
      </c>
      <c r="Q14" s="2"/>
      <c r="R14" s="19"/>
      <c r="S14" s="2"/>
      <c r="T14" s="2">
        <v>10028</v>
      </c>
      <c r="U14" s="2"/>
      <c r="V14" s="19"/>
      <c r="W14" s="2"/>
      <c r="X14" s="2">
        <f t="shared" si="2"/>
        <v>-4728.13</v>
      </c>
      <c r="Y14" s="2"/>
      <c r="Z14" s="19">
        <f t="shared" si="3"/>
        <v>-0.47149282010370963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--130.35</f>
        <v>130.35</v>
      </c>
      <c r="E15" s="2"/>
      <c r="F15" s="19"/>
      <c r="G15" s="2"/>
      <c r="H15" s="2"/>
      <c r="I15" s="2"/>
      <c r="J15" s="19"/>
      <c r="K15" s="2"/>
      <c r="L15" s="2">
        <f t="shared" si="0"/>
        <v>130.35</v>
      </c>
      <c r="M15" s="2"/>
      <c r="N15" s="19">
        <f t="shared" si="1"/>
        <v>0</v>
      </c>
      <c r="O15" s="11"/>
      <c r="P15" s="2">
        <f>--130.35</f>
        <v>130.35</v>
      </c>
      <c r="Q15" s="2"/>
      <c r="R15" s="19"/>
      <c r="S15" s="2"/>
      <c r="T15" s="2"/>
      <c r="U15" s="2"/>
      <c r="V15" s="19"/>
      <c r="W15" s="2"/>
      <c r="X15" s="2">
        <f t="shared" si="2"/>
        <v>130.35</v>
      </c>
      <c r="Y15" s="2"/>
      <c r="Z15" s="19">
        <f t="shared" si="3"/>
        <v>0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3246.5599999999995</v>
      </c>
      <c r="E17" s="4"/>
      <c r="F17" s="12">
        <f t="shared" ref="F17:F20" si="4">IF(D$12=0,0,D17/D$12)</f>
        <v>0.48709554487977735</v>
      </c>
      <c r="G17" s="4"/>
      <c r="H17" s="4">
        <f>SUM(OSRRefH16x_0)</f>
        <v>6133</v>
      </c>
      <c r="I17" s="4"/>
      <c r="J17" s="12">
        <f t="shared" ref="J17:J20" si="5">IF(H$12=0,0,H17/H$12)</f>
        <v>0.49009109797027328</v>
      </c>
      <c r="K17" s="4"/>
      <c r="L17" s="4">
        <f t="shared" ref="L17:L20" si="6">+D17-H17</f>
        <v>-2886.4400000000005</v>
      </c>
      <c r="M17" s="4"/>
      <c r="N17" s="12">
        <f t="shared" ref="N17:N20" si="7">IF(H17=0,0,L17/H17)</f>
        <v>-0.47064079569541833</v>
      </c>
      <c r="O17" s="10"/>
      <c r="P17" s="4">
        <f>SUM(OSRRefP16x_0)</f>
        <v>3246.5599999999995</v>
      </c>
      <c r="Q17" s="4"/>
      <c r="R17" s="12">
        <f t="shared" ref="R17:R20" si="8">IF(P$12=0,0,P17/P$12)</f>
        <v>0.48709554487977735</v>
      </c>
      <c r="S17" s="4"/>
      <c r="T17" s="4">
        <f>SUM(OSRRefT16x_0)</f>
        <v>6133</v>
      </c>
      <c r="U17" s="4"/>
      <c r="V17" s="12">
        <f t="shared" ref="V17:V20" si="9">IF(T$12=0,0,T17/T$12)</f>
        <v>0.49009109797027328</v>
      </c>
      <c r="W17" s="4"/>
      <c r="X17" s="4">
        <f t="shared" ref="X17:X20" si="10">+P17-T17</f>
        <v>-2886.4400000000005</v>
      </c>
      <c r="Y17" s="4"/>
      <c r="Z17" s="12">
        <f t="shared" ref="Z17:Z20" si="11">IF(T17=0,0,X17/T17)</f>
        <v>-0.47064079569541833</v>
      </c>
    </row>
    <row r="18" spans="1:26" s="24" customFormat="1" hidden="1" outlineLevel="1" x14ac:dyDescent="0.3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6133</v>
      </c>
      <c r="I18" s="2"/>
      <c r="J18" s="19">
        <f t="shared" si="5"/>
        <v>0.49009109797027328</v>
      </c>
      <c r="K18" s="2"/>
      <c r="L18" s="2">
        <f t="shared" si="6"/>
        <v>-6133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6133</v>
      </c>
      <c r="U18" s="2"/>
      <c r="V18" s="19">
        <f t="shared" si="9"/>
        <v>0.49009109797027328</v>
      </c>
      <c r="W18" s="2"/>
      <c r="X18" s="2">
        <f t="shared" si="10"/>
        <v>-6133</v>
      </c>
      <c r="Y18" s="2"/>
      <c r="Z18" s="19">
        <f t="shared" si="11"/>
        <v>-1</v>
      </c>
    </row>
    <row r="19" spans="1:26" s="24" customFormat="1" hidden="1" outlineLevel="1" x14ac:dyDescent="0.3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14985.56</v>
      </c>
      <c r="E19" s="2"/>
      <c r="F19" s="19">
        <f t="shared" si="4"/>
        <v>2.2483488718916629</v>
      </c>
      <c r="G19" s="2"/>
      <c r="H19" s="2"/>
      <c r="I19" s="2"/>
      <c r="J19" s="19">
        <f t="shared" si="5"/>
        <v>0</v>
      </c>
      <c r="K19" s="2"/>
      <c r="L19" s="2">
        <f t="shared" si="6"/>
        <v>14985.56</v>
      </c>
      <c r="M19" s="2"/>
      <c r="N19" s="19">
        <f t="shared" si="7"/>
        <v>0</v>
      </c>
      <c r="O19" s="11"/>
      <c r="P19" s="2">
        <v>14985.56</v>
      </c>
      <c r="Q19" s="2"/>
      <c r="R19" s="19">
        <f t="shared" si="8"/>
        <v>2.2483488718916629</v>
      </c>
      <c r="S19" s="2"/>
      <c r="T19" s="2"/>
      <c r="U19" s="2"/>
      <c r="V19" s="19">
        <f t="shared" si="9"/>
        <v>0</v>
      </c>
      <c r="W19" s="2"/>
      <c r="X19" s="2">
        <f t="shared" si="10"/>
        <v>14985.56</v>
      </c>
      <c r="Y19" s="2"/>
      <c r="Z19" s="19">
        <f t="shared" si="11"/>
        <v>0</v>
      </c>
    </row>
    <row r="20" spans="1:26" s="24" customFormat="1" hidden="1" outlineLevel="1" x14ac:dyDescent="0.3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-11739</v>
      </c>
      <c r="E20" s="2"/>
      <c r="F20" s="19">
        <f t="shared" si="4"/>
        <v>-1.7612533270118855</v>
      </c>
      <c r="G20" s="2"/>
      <c r="H20" s="2"/>
      <c r="I20" s="2"/>
      <c r="J20" s="19">
        <f t="shared" si="5"/>
        <v>0</v>
      </c>
      <c r="K20" s="2"/>
      <c r="L20" s="2">
        <f t="shared" si="6"/>
        <v>-11739</v>
      </c>
      <c r="M20" s="2"/>
      <c r="N20" s="19">
        <f t="shared" si="7"/>
        <v>0</v>
      </c>
      <c r="O20" s="11"/>
      <c r="P20" s="2">
        <v>-11739</v>
      </c>
      <c r="Q20" s="2"/>
      <c r="R20" s="19">
        <f t="shared" si="8"/>
        <v>-1.7612533270118855</v>
      </c>
      <c r="S20" s="2"/>
      <c r="T20" s="2"/>
      <c r="U20" s="2"/>
      <c r="V20" s="19">
        <f t="shared" si="9"/>
        <v>0</v>
      </c>
      <c r="W20" s="2"/>
      <c r="X20" s="2">
        <f t="shared" si="10"/>
        <v>-11739</v>
      </c>
      <c r="Y20" s="2"/>
      <c r="Z20" s="19">
        <f t="shared" si="11"/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108</v>
      </c>
      <c r="C22" s="26"/>
      <c r="D22" s="21">
        <f>D12-D17</f>
        <v>3418.5800000000008</v>
      </c>
      <c r="E22" s="13"/>
      <c r="F22" s="20">
        <f>IF(D$12=0,0,D22/D$12)</f>
        <v>0.51290445512022265</v>
      </c>
      <c r="G22" s="13"/>
      <c r="H22" s="21">
        <f>H12-H17</f>
        <v>6381</v>
      </c>
      <c r="I22" s="13"/>
      <c r="J22" s="20">
        <f>IF(H$12=0,0,H22/H$12)</f>
        <v>0.50990890202972672</v>
      </c>
      <c r="K22" s="16"/>
      <c r="L22" s="21">
        <f>+D22-H22</f>
        <v>-2962.4199999999992</v>
      </c>
      <c r="M22" s="16"/>
      <c r="N22" s="20">
        <f>IF(H22=0,0,L22/H22)</f>
        <v>-0.46425638614637194</v>
      </c>
      <c r="O22" s="25"/>
      <c r="P22" s="21">
        <f>P12-P17</f>
        <v>3418.5800000000008</v>
      </c>
      <c r="Q22" s="13"/>
      <c r="R22" s="20">
        <f>IF(P$12=0,0,P22/P$12)</f>
        <v>0.51290445512022265</v>
      </c>
      <c r="S22" s="13"/>
      <c r="T22" s="21">
        <f>T12-T17</f>
        <v>6381</v>
      </c>
      <c r="U22" s="13"/>
      <c r="V22" s="20">
        <f>IF(T$12=0,0,T22/T$12)</f>
        <v>0.50990890202972672</v>
      </c>
      <c r="W22" s="16"/>
      <c r="X22" s="21">
        <f>+P22-T22</f>
        <v>-2962.4199999999992</v>
      </c>
      <c r="Y22" s="16"/>
      <c r="Z22" s="20">
        <f>IF(T22=0,0,X22/T22)</f>
        <v>-0.46425638614637194</v>
      </c>
    </row>
    <row r="23" spans="1:26" x14ac:dyDescent="0.3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295</v>
      </c>
      <c r="C24" s="10"/>
      <c r="D24" s="22">
        <f>SUM(OSRRefD22x_0)</f>
        <v>28081.420000000002</v>
      </c>
      <c r="E24" s="22"/>
      <c r="F24" s="31">
        <f t="shared" ref="F24:F34" si="12">IF(D$12=0,0,D24/D$12)</f>
        <v>4.2131778177202577</v>
      </c>
      <c r="G24" s="22"/>
      <c r="H24" s="22">
        <f>SUM(OSRRefH22x_0)</f>
        <v>33033.680587307696</v>
      </c>
      <c r="I24" s="22"/>
      <c r="J24" s="31">
        <f t="shared" ref="J24:J34" si="13">IF(H$12=0,0,H24/H$12)</f>
        <v>2.6397379404912655</v>
      </c>
      <c r="K24" s="4"/>
      <c r="L24" s="22">
        <f t="shared" ref="L24:L34" si="14">+D24-H24</f>
        <v>-4952.2605873076936</v>
      </c>
      <c r="M24" s="4"/>
      <c r="N24" s="31">
        <f t="shared" ref="N24:N34" si="15">IF(H24=0,0,L24/H24)</f>
        <v>-0.14991549531451445</v>
      </c>
      <c r="O24" s="10"/>
      <c r="P24" s="22">
        <f>SUM(OSRRefP22x_0)</f>
        <v>40011.32</v>
      </c>
      <c r="Q24" s="22"/>
      <c r="R24" s="31">
        <f t="shared" ref="R24:R34" si="16">IF(P$12=0,0,P24/P$12)</f>
        <v>6.0030727036491349</v>
      </c>
      <c r="S24" s="22"/>
      <c r="T24" s="22">
        <f>SUM(OSRRefT22x_0)</f>
        <v>55150.929102692302</v>
      </c>
      <c r="U24" s="22"/>
      <c r="V24" s="31">
        <f t="shared" ref="V24:V34" si="17">IF(T$12=0,0,T24/T$12)</f>
        <v>4.4071383332821084</v>
      </c>
      <c r="W24" s="4"/>
      <c r="X24" s="22">
        <f t="shared" ref="X24:X34" si="18">+P24-T24</f>
        <v>-15139.609102692302</v>
      </c>
      <c r="Y24" s="4"/>
      <c r="Z24" s="31">
        <f t="shared" ref="Z24:Z34" si="19">IF(T24=0,0,X24/T24)</f>
        <v>-0.27451231282979843</v>
      </c>
    </row>
    <row r="25" spans="1:26" s="28" customFormat="1" outlineLevel="1" collapsed="1" x14ac:dyDescent="0.3">
      <c r="A25" s="29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284.44</v>
      </c>
      <c r="E25" s="1"/>
      <c r="F25" s="5">
        <f t="shared" si="12"/>
        <v>4.2675772751960196E-2</v>
      </c>
      <c r="G25" s="1"/>
      <c r="H25" s="1">
        <f>SUM(OSRRefH22_0x_0)</f>
        <v>4307.4163565384606</v>
      </c>
      <c r="I25" s="1"/>
      <c r="J25" s="5">
        <f t="shared" si="13"/>
        <v>0.34420779579179006</v>
      </c>
      <c r="K25" s="1"/>
      <c r="L25" s="1">
        <f t="shared" si="14"/>
        <v>-4022.9763565384605</v>
      </c>
      <c r="M25" s="1"/>
      <c r="N25" s="5">
        <f t="shared" si="15"/>
        <v>-0.93396505550984565</v>
      </c>
      <c r="O25" s="14"/>
      <c r="P25" s="1">
        <f>SUM(OSRRefP22_0x_0)</f>
        <v>284.44</v>
      </c>
      <c r="Q25" s="1"/>
      <c r="R25" s="5">
        <f t="shared" si="16"/>
        <v>4.2675772751960196E-2</v>
      </c>
      <c r="S25" s="1"/>
      <c r="T25" s="1">
        <f>SUM(OSRRefT22_0x_0)</f>
        <v>8034.2033334615344</v>
      </c>
      <c r="U25" s="1"/>
      <c r="V25" s="5">
        <f t="shared" si="17"/>
        <v>0.64201720740462953</v>
      </c>
      <c r="W25" s="1"/>
      <c r="X25" s="1">
        <f t="shared" si="18"/>
        <v>-7749.7633334615348</v>
      </c>
      <c r="Y25" s="1"/>
      <c r="Z25" s="5">
        <f t="shared" si="19"/>
        <v>-0.96459636529046511</v>
      </c>
    </row>
    <row r="26" spans="1:26" s="24" customFormat="1" hidden="1" outlineLevel="2" x14ac:dyDescent="0.3">
      <c r="A26" s="27"/>
      <c r="B26" s="11" t="str">
        <f>CONCATENATE("          ", "6111", " - ", "F.I.C.A.")</f>
        <v xml:space="preserve">          6111 - F.I.C.A.</v>
      </c>
      <c r="C26" s="11"/>
      <c r="D26" s="6">
        <v>168.12</v>
      </c>
      <c r="E26" s="2"/>
      <c r="F26" s="7">
        <f t="shared" si="12"/>
        <v>2.5223776244760049E-2</v>
      </c>
      <c r="G26" s="2"/>
      <c r="H26" s="6">
        <v>680.70197192307705</v>
      </c>
      <c r="I26" s="2"/>
      <c r="J26" s="7">
        <f t="shared" si="13"/>
        <v>5.4395235090544752E-2</v>
      </c>
      <c r="K26" s="2"/>
      <c r="L26" s="6">
        <f t="shared" si="14"/>
        <v>-512.58197192307705</v>
      </c>
      <c r="M26" s="2"/>
      <c r="N26" s="7">
        <f t="shared" si="15"/>
        <v>-0.7530196665582769</v>
      </c>
      <c r="O26" s="11"/>
      <c r="P26" s="6">
        <v>168.12</v>
      </c>
      <c r="Q26" s="2"/>
      <c r="R26" s="7">
        <f t="shared" si="16"/>
        <v>2.5223776244760049E-2</v>
      </c>
      <c r="S26" s="2"/>
      <c r="T26" s="6">
        <v>1123.33971807692</v>
      </c>
      <c r="U26" s="2"/>
      <c r="V26" s="7">
        <f t="shared" si="17"/>
        <v>8.9766638810685639E-2</v>
      </c>
      <c r="W26" s="2"/>
      <c r="X26" s="6">
        <f t="shared" si="18"/>
        <v>-955.21971807692</v>
      </c>
      <c r="Y26" s="2"/>
      <c r="Z26" s="7">
        <f t="shared" si="19"/>
        <v>-0.85033912956642377</v>
      </c>
    </row>
    <row r="27" spans="1:26" s="24" customFormat="1" hidden="1" outlineLevel="2" x14ac:dyDescent="0.3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32.53</v>
      </c>
      <c r="E27" s="2"/>
      <c r="F27" s="7">
        <f t="shared" si="12"/>
        <v>4.8806176614444707E-3</v>
      </c>
      <c r="G27" s="2"/>
      <c r="H27" s="6">
        <v>502.38636538461498</v>
      </c>
      <c r="I27" s="2"/>
      <c r="J27" s="7">
        <f t="shared" si="13"/>
        <v>4.0145945771505112E-2</v>
      </c>
      <c r="K27" s="2"/>
      <c r="L27" s="6">
        <f t="shared" si="14"/>
        <v>-469.85636538461495</v>
      </c>
      <c r="M27" s="2"/>
      <c r="N27" s="7">
        <f t="shared" si="15"/>
        <v>-0.93524903890435829</v>
      </c>
      <c r="O27" s="11"/>
      <c r="P27" s="6">
        <v>32.53</v>
      </c>
      <c r="Q27" s="2"/>
      <c r="R27" s="7">
        <f t="shared" si="16"/>
        <v>4.8806176614444707E-3</v>
      </c>
      <c r="S27" s="2"/>
      <c r="T27" s="6">
        <v>721.59413461538395</v>
      </c>
      <c r="U27" s="2"/>
      <c r="V27" s="7">
        <f t="shared" si="17"/>
        <v>5.7662948267171485E-2</v>
      </c>
      <c r="W27" s="2"/>
      <c r="X27" s="6">
        <f t="shared" si="18"/>
        <v>-689.06413461538398</v>
      </c>
      <c r="Y27" s="2"/>
      <c r="Z27" s="7">
        <f t="shared" si="19"/>
        <v>-0.95491925662985222</v>
      </c>
    </row>
    <row r="28" spans="1:26" s="24" customFormat="1" hidden="1" outlineLevel="2" x14ac:dyDescent="0.3">
      <c r="A28" s="27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2"/>
        <v>0</v>
      </c>
      <c r="G28" s="2"/>
      <c r="H28" s="6">
        <v>1977</v>
      </c>
      <c r="I28" s="2"/>
      <c r="J28" s="7">
        <f t="shared" si="13"/>
        <v>0.15798305897394918</v>
      </c>
      <c r="K28" s="2"/>
      <c r="L28" s="6">
        <f t="shared" si="14"/>
        <v>-1977</v>
      </c>
      <c r="M28" s="2"/>
      <c r="N28" s="7">
        <f t="shared" si="15"/>
        <v>-1</v>
      </c>
      <c r="O28" s="11"/>
      <c r="P28" s="6"/>
      <c r="Q28" s="2"/>
      <c r="R28" s="7">
        <f t="shared" si="16"/>
        <v>0</v>
      </c>
      <c r="S28" s="2"/>
      <c r="T28" s="6">
        <v>3954</v>
      </c>
      <c r="U28" s="2"/>
      <c r="V28" s="7">
        <f t="shared" si="17"/>
        <v>0.31596611794789836</v>
      </c>
      <c r="W28" s="2"/>
      <c r="X28" s="6">
        <f t="shared" si="18"/>
        <v>-3954</v>
      </c>
      <c r="Y28" s="2"/>
      <c r="Z28" s="7">
        <f t="shared" si="19"/>
        <v>-1</v>
      </c>
    </row>
    <row r="29" spans="1:26" s="24" customFormat="1" hidden="1" outlineLevel="2" x14ac:dyDescent="0.3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5.71</v>
      </c>
      <c r="E29" s="2"/>
      <c r="F29" s="7">
        <f t="shared" si="12"/>
        <v>8.5669618342600453E-4</v>
      </c>
      <c r="G29" s="2"/>
      <c r="H29" s="6">
        <v>27.8367115384615</v>
      </c>
      <c r="I29" s="2"/>
      <c r="J29" s="7">
        <f t="shared" si="13"/>
        <v>2.2244455440675642E-3</v>
      </c>
      <c r="K29" s="2"/>
      <c r="L29" s="6">
        <f t="shared" si="14"/>
        <v>-22.1267115384615</v>
      </c>
      <c r="M29" s="2"/>
      <c r="N29" s="7">
        <f t="shared" si="15"/>
        <v>-0.79487519594005951</v>
      </c>
      <c r="O29" s="11"/>
      <c r="P29" s="6">
        <v>5.71</v>
      </c>
      <c r="Q29" s="2"/>
      <c r="R29" s="7">
        <f t="shared" si="16"/>
        <v>8.5669618342600453E-4</v>
      </c>
      <c r="S29" s="2"/>
      <c r="T29" s="6">
        <v>39.982788461538398</v>
      </c>
      <c r="U29" s="2"/>
      <c r="V29" s="7">
        <f t="shared" si="17"/>
        <v>3.1950446269408978E-3</v>
      </c>
      <c r="W29" s="2"/>
      <c r="X29" s="6">
        <f t="shared" si="18"/>
        <v>-34.272788461538397</v>
      </c>
      <c r="Y29" s="2"/>
      <c r="Z29" s="7">
        <f t="shared" si="19"/>
        <v>-0.85718854988083792</v>
      </c>
    </row>
    <row r="30" spans="1:26" s="24" customFormat="1" hidden="1" outlineLevel="2" x14ac:dyDescent="0.3">
      <c r="A30" s="27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2"/>
        <v>0</v>
      </c>
      <c r="G30" s="2"/>
      <c r="H30" s="6">
        <v>397.928615384615</v>
      </c>
      <c r="I30" s="2"/>
      <c r="J30" s="7">
        <f t="shared" si="13"/>
        <v>3.17986747150883E-2</v>
      </c>
      <c r="K30" s="2"/>
      <c r="L30" s="6">
        <f t="shared" si="14"/>
        <v>-397.928615384615</v>
      </c>
      <c r="M30" s="2"/>
      <c r="N30" s="7">
        <f t="shared" si="15"/>
        <v>-1</v>
      </c>
      <c r="O30" s="11"/>
      <c r="P30" s="6"/>
      <c r="Q30" s="2"/>
      <c r="R30" s="7">
        <f t="shared" si="16"/>
        <v>0</v>
      </c>
      <c r="S30" s="2"/>
      <c r="T30" s="6">
        <v>895.33938461538401</v>
      </c>
      <c r="U30" s="2"/>
      <c r="V30" s="7">
        <f t="shared" si="17"/>
        <v>7.1547018108948701E-2</v>
      </c>
      <c r="W30" s="2"/>
      <c r="X30" s="6">
        <f t="shared" si="18"/>
        <v>-895.33938461538401</v>
      </c>
      <c r="Y30" s="2"/>
      <c r="Z30" s="7">
        <f t="shared" si="19"/>
        <v>-1</v>
      </c>
    </row>
    <row r="31" spans="1:26" s="24" customFormat="1" hidden="1" outlineLevel="2" x14ac:dyDescent="0.3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3">
      <c r="A32" s="27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2"/>
        <v>0</v>
      </c>
      <c r="G32" s="2"/>
      <c r="H32" s="6">
        <v>231.35384615384601</v>
      </c>
      <c r="I32" s="2"/>
      <c r="J32" s="7">
        <f t="shared" si="13"/>
        <v>1.8487601578539715E-2</v>
      </c>
      <c r="K32" s="2"/>
      <c r="L32" s="6">
        <f t="shared" si="14"/>
        <v>-231.35384615384601</v>
      </c>
      <c r="M32" s="2"/>
      <c r="N32" s="7">
        <f t="shared" si="15"/>
        <v>-1</v>
      </c>
      <c r="O32" s="11"/>
      <c r="P32" s="6"/>
      <c r="Q32" s="2"/>
      <c r="R32" s="7">
        <f t="shared" si="16"/>
        <v>0</v>
      </c>
      <c r="S32" s="2"/>
      <c r="T32" s="6">
        <v>520.54615384615397</v>
      </c>
      <c r="U32" s="2"/>
      <c r="V32" s="7">
        <f t="shared" si="17"/>
        <v>4.15971035517144E-2</v>
      </c>
      <c r="W32" s="2"/>
      <c r="X32" s="6">
        <f t="shared" si="18"/>
        <v>-520.54615384615397</v>
      </c>
      <c r="Y32" s="2"/>
      <c r="Z32" s="7">
        <f t="shared" si="19"/>
        <v>-1</v>
      </c>
    </row>
    <row r="33" spans="1:26" s="24" customFormat="1" hidden="1" outlineLevel="2" x14ac:dyDescent="0.3">
      <c r="A33" s="27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2"/>
        <v>0</v>
      </c>
      <c r="G33" s="2"/>
      <c r="H33" s="6">
        <v>490.20884615384603</v>
      </c>
      <c r="I33" s="2"/>
      <c r="J33" s="7">
        <f t="shared" si="13"/>
        <v>3.9172834118095412E-2</v>
      </c>
      <c r="K33" s="2"/>
      <c r="L33" s="6">
        <f t="shared" si="14"/>
        <v>-490.20884615384603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779.40115384615399</v>
      </c>
      <c r="U33" s="2"/>
      <c r="V33" s="7">
        <f t="shared" si="17"/>
        <v>6.2282336091270096E-2</v>
      </c>
      <c r="W33" s="2"/>
      <c r="X33" s="6">
        <f t="shared" si="18"/>
        <v>-779.40115384615399</v>
      </c>
      <c r="Y33" s="2"/>
      <c r="Z33" s="7">
        <f t="shared" si="19"/>
        <v>-1</v>
      </c>
    </row>
    <row r="34" spans="1:26" s="24" customFormat="1" hidden="1" outlineLevel="2" x14ac:dyDescent="0.3">
      <c r="A34" s="27"/>
      <c r="B34" s="11" t="str">
        <f>CONCATENATE("          ", "6156", " - ", "EMPLOYEE MEALS")</f>
        <v xml:space="preserve">          6156 - EMPLOYEE MEALS</v>
      </c>
      <c r="C34" s="11"/>
      <c r="D34" s="6">
        <v>78.08</v>
      </c>
      <c r="E34" s="2"/>
      <c r="F34" s="7">
        <f t="shared" si="12"/>
        <v>1.1714682662329673E-2</v>
      </c>
      <c r="G34" s="2"/>
      <c r="H34" s="6"/>
      <c r="I34" s="2"/>
      <c r="J34" s="7">
        <f t="shared" si="13"/>
        <v>0</v>
      </c>
      <c r="K34" s="2"/>
      <c r="L34" s="6">
        <f t="shared" si="14"/>
        <v>78.08</v>
      </c>
      <c r="M34" s="2"/>
      <c r="N34" s="7">
        <f t="shared" si="15"/>
        <v>0</v>
      </c>
      <c r="O34" s="11"/>
      <c r="P34" s="6">
        <v>78.08</v>
      </c>
      <c r="Q34" s="2"/>
      <c r="R34" s="7">
        <f t="shared" si="16"/>
        <v>1.1714682662329673E-2</v>
      </c>
      <c r="S34" s="2"/>
      <c r="T34" s="6"/>
      <c r="U34" s="2"/>
      <c r="V34" s="7">
        <f t="shared" si="17"/>
        <v>0</v>
      </c>
      <c r="W34" s="2"/>
      <c r="X34" s="6">
        <f t="shared" si="18"/>
        <v>78.08</v>
      </c>
      <c r="Y34" s="2"/>
      <c r="Z34" s="7">
        <f t="shared" si="19"/>
        <v>0</v>
      </c>
    </row>
    <row r="35" spans="1:26" s="28" customFormat="1" outlineLevel="1" collapsed="1" x14ac:dyDescent="0.3">
      <c r="A35" s="29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3626.66</v>
      </c>
      <c r="E35" s="1"/>
      <c r="F35" s="5">
        <f t="shared" ref="F35:F45" si="20">IF(D$12=0,0,D35/D$12)</f>
        <v>0.54412360430538587</v>
      </c>
      <c r="G35" s="1"/>
      <c r="H35" s="1">
        <f>SUM(OSRRefH22_1x_0)</f>
        <v>12534.014230769231</v>
      </c>
      <c r="I35" s="1"/>
      <c r="J35" s="5">
        <f t="shared" ref="J35:J45" si="21">IF(H$12=0,0,H35/H$12)</f>
        <v>1.0015993471926827</v>
      </c>
      <c r="K35" s="1"/>
      <c r="L35" s="1">
        <f t="shared" ref="L35:L45" si="22">+D35-H35</f>
        <v>-8907.3542307692314</v>
      </c>
      <c r="M35" s="1"/>
      <c r="N35" s="5">
        <f t="shared" ref="N35:N45" si="23">IF(H35=0,0,L35/H35)</f>
        <v>-0.71065454903529124</v>
      </c>
      <c r="O35" s="14"/>
      <c r="P35" s="1">
        <f>SUM(OSRRefP22_1x_0)</f>
        <v>3626.66</v>
      </c>
      <c r="Q35" s="1"/>
      <c r="R35" s="5">
        <f t="shared" ref="R35:R45" si="24">IF(P$12=0,0,P35/P$12)</f>
        <v>0.54412360430538587</v>
      </c>
      <c r="S35" s="1"/>
      <c r="T35" s="1">
        <f>SUM(OSRRefT22_1x_0)</f>
        <v>17739.475769230768</v>
      </c>
      <c r="U35" s="1"/>
      <c r="V35" s="5">
        <f t="shared" ref="V35:V45" si="25">IF(T$12=0,0,T35/T$12)</f>
        <v>1.4175703827098265</v>
      </c>
      <c r="W35" s="1"/>
      <c r="X35" s="1">
        <f t="shared" ref="X35:X45" si="26">+P35-T35</f>
        <v>-14112.815769230769</v>
      </c>
      <c r="Y35" s="1"/>
      <c r="Z35" s="5">
        <f t="shared" ref="Z35:Z45" si="27">IF(T35=0,0,X35/T35)</f>
        <v>-0.7955599112860785</v>
      </c>
    </row>
    <row r="36" spans="1:26" s="24" customFormat="1" hidden="1" outlineLevel="2" x14ac:dyDescent="0.3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3">
      <c r="A37" s="27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4164.3692307692299</v>
      </c>
      <c r="I37" s="2"/>
      <c r="J37" s="7">
        <f t="shared" si="21"/>
        <v>0.33277682841371503</v>
      </c>
      <c r="K37" s="2"/>
      <c r="L37" s="6">
        <f t="shared" si="22"/>
        <v>-4164.3692307692299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9369.8307692307699</v>
      </c>
      <c r="U37" s="2"/>
      <c r="V37" s="7">
        <f t="shared" si="25"/>
        <v>0.74874786393085901</v>
      </c>
      <c r="W37" s="2"/>
      <c r="X37" s="6">
        <f t="shared" si="26"/>
        <v>-9369.8307692307699</v>
      </c>
      <c r="Y37" s="2"/>
      <c r="Z37" s="7">
        <f t="shared" si="27"/>
        <v>-1</v>
      </c>
    </row>
    <row r="38" spans="1:26" s="24" customFormat="1" hidden="1" outlineLevel="2" x14ac:dyDescent="0.3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4139.4750000000004</v>
      </c>
      <c r="I39" s="2"/>
      <c r="J39" s="7">
        <f t="shared" si="21"/>
        <v>0.33078751797986256</v>
      </c>
      <c r="K39" s="2"/>
      <c r="L39" s="6">
        <f t="shared" si="22"/>
        <v>-4139.4750000000004</v>
      </c>
      <c r="M39" s="2"/>
      <c r="N39" s="7">
        <f t="shared" si="23"/>
        <v>-1</v>
      </c>
      <c r="O39" s="11"/>
      <c r="P39" s="6"/>
      <c r="Q39" s="2"/>
      <c r="R39" s="7">
        <f t="shared" si="24"/>
        <v>0</v>
      </c>
      <c r="S39" s="2"/>
      <c r="T39" s="6">
        <v>4139.4750000000004</v>
      </c>
      <c r="U39" s="2"/>
      <c r="V39" s="7">
        <f t="shared" si="25"/>
        <v>0.33078751797986256</v>
      </c>
      <c r="W39" s="2"/>
      <c r="X39" s="6">
        <f t="shared" si="26"/>
        <v>-4139.4750000000004</v>
      </c>
      <c r="Y39" s="2"/>
      <c r="Z39" s="7">
        <f t="shared" si="27"/>
        <v>-1</v>
      </c>
    </row>
    <row r="40" spans="1:26" s="24" customFormat="1" hidden="1" outlineLevel="2" x14ac:dyDescent="0.3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1349.1</v>
      </c>
      <c r="E40" s="2"/>
      <c r="F40" s="7">
        <f t="shared" si="20"/>
        <v>0.2024113521996537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1349.1</v>
      </c>
      <c r="M40" s="2"/>
      <c r="N40" s="7">
        <f t="shared" si="23"/>
        <v>0</v>
      </c>
      <c r="O40" s="11"/>
      <c r="P40" s="6">
        <v>1349.1</v>
      </c>
      <c r="Q40" s="2"/>
      <c r="R40" s="7">
        <f t="shared" si="24"/>
        <v>0.2024113521996537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1349.1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3">
      <c r="A42" s="27"/>
      <c r="B42" s="11" t="str">
        <f>CONCATENATE("          ", "6007", " - ", "STUDENT HOURLY")</f>
        <v xml:space="preserve">          6007 - STUDENT HOURLY</v>
      </c>
      <c r="C42" s="11"/>
      <c r="D42" s="6">
        <v>2277.56</v>
      </c>
      <c r="E42" s="2"/>
      <c r="F42" s="7">
        <f t="shared" si="20"/>
        <v>0.34171225210573219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2277.56</v>
      </c>
      <c r="M42" s="2"/>
      <c r="N42" s="7">
        <f t="shared" si="23"/>
        <v>0</v>
      </c>
      <c r="O42" s="11"/>
      <c r="P42" s="6">
        <v>2277.56</v>
      </c>
      <c r="Q42" s="2"/>
      <c r="R42" s="7">
        <f t="shared" si="24"/>
        <v>0.34171225210573219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2277.56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4230.17</v>
      </c>
      <c r="I43" s="2"/>
      <c r="J43" s="7">
        <f t="shared" si="21"/>
        <v>0.33803500079910503</v>
      </c>
      <c r="K43" s="2"/>
      <c r="L43" s="6">
        <f t="shared" si="22"/>
        <v>-4230.17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4230.17</v>
      </c>
      <c r="U43" s="2"/>
      <c r="V43" s="7">
        <f t="shared" si="25"/>
        <v>0.33803500079910503</v>
      </c>
      <c r="W43" s="2"/>
      <c r="X43" s="6">
        <f t="shared" si="26"/>
        <v>-4230.17</v>
      </c>
      <c r="Y43" s="2"/>
      <c r="Z43" s="7">
        <f t="shared" si="27"/>
        <v>-1</v>
      </c>
    </row>
    <row r="44" spans="1:26" s="24" customFormat="1" hidden="1" outlineLevel="2" x14ac:dyDescent="0.3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8" customFormat="1" outlineLevel="1" collapsed="1" x14ac:dyDescent="0.3">
      <c r="A46" s="29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87.97</v>
      </c>
      <c r="E46" s="1"/>
      <c r="F46" s="5">
        <f t="shared" ref="F46:F54" si="28">IF(D$12=0,0,D46/D$12)</f>
        <v>1.3198522461643715E-2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87.97</v>
      </c>
      <c r="M46" s="1"/>
      <c r="N46" s="5">
        <f t="shared" ref="N46:N54" si="31">IF(H46=0,0,L46/H46)</f>
        <v>0</v>
      </c>
      <c r="O46" s="14"/>
      <c r="P46" s="1">
        <f>SUM(OSRRefP22_2x_0)</f>
        <v>87.97</v>
      </c>
      <c r="Q46" s="1"/>
      <c r="R46" s="5">
        <f t="shared" ref="R46:R54" si="32">IF(P$12=0,0,P46/P$12)</f>
        <v>1.3198522461643715E-2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87.97</v>
      </c>
      <c r="Y46" s="1"/>
      <c r="Z46" s="5">
        <f t="shared" ref="Z46:Z54" si="35">IF(T46=0,0,X46/T46)</f>
        <v>0</v>
      </c>
    </row>
    <row r="47" spans="1:26" s="24" customFormat="1" hidden="1" outlineLevel="2" x14ac:dyDescent="0.3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87.97</v>
      </c>
      <c r="E47" s="2"/>
      <c r="F47" s="7">
        <f t="shared" si="28"/>
        <v>1.3198522461643715E-2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87.97</v>
      </c>
      <c r="M47" s="2"/>
      <c r="N47" s="7">
        <f t="shared" si="31"/>
        <v>0</v>
      </c>
      <c r="O47" s="11"/>
      <c r="P47" s="6">
        <v>87.97</v>
      </c>
      <c r="Q47" s="2"/>
      <c r="R47" s="7">
        <f t="shared" si="32"/>
        <v>1.3198522461643715E-2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87.97</v>
      </c>
      <c r="Y47" s="2"/>
      <c r="Z47" s="7">
        <f t="shared" si="35"/>
        <v>0</v>
      </c>
    </row>
    <row r="48" spans="1:26" s="28" customFormat="1" outlineLevel="1" collapsed="1" x14ac:dyDescent="0.3">
      <c r="A48" s="29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-1.3</v>
      </c>
      <c r="E48" s="1"/>
      <c r="F48" s="5">
        <f t="shared" si="28"/>
        <v>-1.950446652283373E-4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-1.3</v>
      </c>
      <c r="M48" s="1"/>
      <c r="N48" s="5">
        <f t="shared" si="31"/>
        <v>0</v>
      </c>
      <c r="O48" s="14"/>
      <c r="P48" s="1">
        <f>SUM(OSRRefP22_3x_0)</f>
        <v>-1.3</v>
      </c>
      <c r="Q48" s="1"/>
      <c r="R48" s="5">
        <f t="shared" si="32"/>
        <v>-1.950446652283373E-4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-1.3</v>
      </c>
      <c r="Y48" s="1"/>
      <c r="Z48" s="5">
        <f t="shared" si="35"/>
        <v>0</v>
      </c>
    </row>
    <row r="49" spans="1:26" s="24" customFormat="1" hidden="1" outlineLevel="2" x14ac:dyDescent="0.3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-1.3</v>
      </c>
      <c r="E49" s="2"/>
      <c r="F49" s="7">
        <f t="shared" si="28"/>
        <v>-1.950446652283373E-4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-1.3</v>
      </c>
      <c r="M49" s="2"/>
      <c r="N49" s="7">
        <f t="shared" si="31"/>
        <v>0</v>
      </c>
      <c r="O49" s="11"/>
      <c r="P49" s="6">
        <v>-1.3</v>
      </c>
      <c r="Q49" s="2"/>
      <c r="R49" s="7">
        <f t="shared" si="32"/>
        <v>-1.950446652283373E-4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-1.3</v>
      </c>
      <c r="Y49" s="2"/>
      <c r="Z49" s="7">
        <f t="shared" si="35"/>
        <v>0</v>
      </c>
    </row>
    <row r="50" spans="1:26" s="28" customFormat="1" outlineLevel="1" collapsed="1" x14ac:dyDescent="0.3">
      <c r="A50" s="29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419.56</v>
      </c>
      <c r="E50" s="1"/>
      <c r="F50" s="5">
        <f t="shared" si="28"/>
        <v>6.2948415187077833E-2</v>
      </c>
      <c r="G50" s="1"/>
      <c r="H50" s="1">
        <f>SUM(OSRRefH22_4x_0)</f>
        <v>462.25</v>
      </c>
      <c r="I50" s="1"/>
      <c r="J50" s="5">
        <f t="shared" si="29"/>
        <v>3.6938628735815889E-2</v>
      </c>
      <c r="K50" s="1"/>
      <c r="L50" s="1">
        <f t="shared" si="30"/>
        <v>-42.69</v>
      </c>
      <c r="M50" s="1"/>
      <c r="N50" s="5">
        <f t="shared" si="31"/>
        <v>-9.2352623039480802E-2</v>
      </c>
      <c r="O50" s="14"/>
      <c r="P50" s="1">
        <f>SUM(OSRRefP22_4x_0)</f>
        <v>495.02</v>
      </c>
      <c r="Q50" s="1"/>
      <c r="R50" s="5">
        <f t="shared" si="32"/>
        <v>7.427000783179348E-2</v>
      </c>
      <c r="S50" s="1"/>
      <c r="T50" s="1">
        <f>SUM(OSRRefT22_4x_0)</f>
        <v>462.25</v>
      </c>
      <c r="U50" s="1"/>
      <c r="V50" s="5">
        <f t="shared" si="33"/>
        <v>3.6938628735815889E-2</v>
      </c>
      <c r="W50" s="1"/>
      <c r="X50" s="1">
        <f t="shared" si="34"/>
        <v>32.769999999999982</v>
      </c>
      <c r="Y50" s="1"/>
      <c r="Z50" s="5">
        <f t="shared" si="35"/>
        <v>7.0892374256354751E-2</v>
      </c>
    </row>
    <row r="51" spans="1:26" s="24" customFormat="1" hidden="1" outlineLevel="2" x14ac:dyDescent="0.3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419.56</v>
      </c>
      <c r="E51" s="2"/>
      <c r="F51" s="7">
        <f t="shared" si="28"/>
        <v>6.2948415187077833E-2</v>
      </c>
      <c r="G51" s="2"/>
      <c r="H51" s="6">
        <v>462.25</v>
      </c>
      <c r="I51" s="2"/>
      <c r="J51" s="7">
        <f t="shared" si="29"/>
        <v>3.6938628735815889E-2</v>
      </c>
      <c r="K51" s="2"/>
      <c r="L51" s="6">
        <f t="shared" si="30"/>
        <v>-42.69</v>
      </c>
      <c r="M51" s="2"/>
      <c r="N51" s="7">
        <f t="shared" si="31"/>
        <v>-9.2352623039480802E-2</v>
      </c>
      <c r="O51" s="11"/>
      <c r="P51" s="6">
        <v>495.02</v>
      </c>
      <c r="Q51" s="2"/>
      <c r="R51" s="7">
        <f t="shared" si="32"/>
        <v>7.427000783179348E-2</v>
      </c>
      <c r="S51" s="2"/>
      <c r="T51" s="6">
        <v>462.25</v>
      </c>
      <c r="U51" s="2"/>
      <c r="V51" s="7">
        <f t="shared" si="33"/>
        <v>3.6938628735815889E-2</v>
      </c>
      <c r="W51" s="2"/>
      <c r="X51" s="6">
        <f t="shared" si="34"/>
        <v>32.769999999999982</v>
      </c>
      <c r="Y51" s="2"/>
      <c r="Z51" s="7">
        <f t="shared" si="35"/>
        <v>7.0892374256354751E-2</v>
      </c>
    </row>
    <row r="52" spans="1:26" s="28" customFormat="1" outlineLevel="1" collapsed="1" x14ac:dyDescent="0.3">
      <c r="A52" s="29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7135.5400000000009</v>
      </c>
      <c r="E52" s="1"/>
      <c r="F52" s="5">
        <f t="shared" si="28"/>
        <v>1.0705761619410845</v>
      </c>
      <c r="G52" s="1"/>
      <c r="H52" s="1">
        <f>SUM(OSRRefH22_5x_0)</f>
        <v>7134</v>
      </c>
      <c r="I52" s="1"/>
      <c r="J52" s="5">
        <f t="shared" si="29"/>
        <v>0.57008150871024454</v>
      </c>
      <c r="K52" s="1"/>
      <c r="L52" s="1">
        <f t="shared" si="30"/>
        <v>1.5400000000008731</v>
      </c>
      <c r="M52" s="1"/>
      <c r="N52" s="5">
        <f t="shared" si="31"/>
        <v>2.1586767591826088E-4</v>
      </c>
      <c r="O52" s="14"/>
      <c r="P52" s="1">
        <f>SUM(OSRRefP22_5x_0)</f>
        <v>14271.080000000002</v>
      </c>
      <c r="Q52" s="1"/>
      <c r="R52" s="5">
        <f t="shared" si="32"/>
        <v>2.141152323882169</v>
      </c>
      <c r="S52" s="1"/>
      <c r="T52" s="1">
        <f>SUM(OSRRefT22_5x_0)</f>
        <v>14268</v>
      </c>
      <c r="U52" s="1"/>
      <c r="V52" s="5">
        <f t="shared" si="33"/>
        <v>1.1401630174204891</v>
      </c>
      <c r="W52" s="1"/>
      <c r="X52" s="1">
        <f t="shared" si="34"/>
        <v>3.0800000000017462</v>
      </c>
      <c r="Y52" s="1"/>
      <c r="Z52" s="5">
        <f t="shared" si="35"/>
        <v>2.1586767591826088E-4</v>
      </c>
    </row>
    <row r="53" spans="1:26" s="24" customFormat="1" hidden="1" outlineLevel="2" x14ac:dyDescent="0.3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5080.51</v>
      </c>
      <c r="E53" s="2"/>
      <c r="F53" s="7">
        <f t="shared" si="28"/>
        <v>0.76225105549170757</v>
      </c>
      <c r="G53" s="2"/>
      <c r="H53" s="6"/>
      <c r="I53" s="2"/>
      <c r="J53" s="7">
        <f t="shared" si="29"/>
        <v>0</v>
      </c>
      <c r="K53" s="2"/>
      <c r="L53" s="6">
        <f t="shared" si="30"/>
        <v>5080.51</v>
      </c>
      <c r="M53" s="2"/>
      <c r="N53" s="7">
        <f t="shared" si="31"/>
        <v>0</v>
      </c>
      <c r="O53" s="11"/>
      <c r="P53" s="6">
        <v>10161.02</v>
      </c>
      <c r="Q53" s="2"/>
      <c r="R53" s="7">
        <f t="shared" si="32"/>
        <v>1.5245021109834151</v>
      </c>
      <c r="S53" s="2"/>
      <c r="T53" s="6"/>
      <c r="U53" s="2"/>
      <c r="V53" s="7">
        <f t="shared" si="33"/>
        <v>0</v>
      </c>
      <c r="W53" s="2"/>
      <c r="X53" s="6">
        <f t="shared" si="34"/>
        <v>10161.02</v>
      </c>
      <c r="Y53" s="2"/>
      <c r="Z53" s="7">
        <f t="shared" si="35"/>
        <v>0</v>
      </c>
    </row>
    <row r="54" spans="1:26" s="24" customFormat="1" hidden="1" outlineLevel="2" x14ac:dyDescent="0.3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2055.0300000000002</v>
      </c>
      <c r="E54" s="2"/>
      <c r="F54" s="7">
        <f t="shared" si="28"/>
        <v>0.30832510644937694</v>
      </c>
      <c r="G54" s="2"/>
      <c r="H54" s="6">
        <v>7134</v>
      </c>
      <c r="I54" s="2"/>
      <c r="J54" s="7">
        <f t="shared" si="29"/>
        <v>0.57008150871024454</v>
      </c>
      <c r="K54" s="2"/>
      <c r="L54" s="6">
        <f t="shared" si="30"/>
        <v>-5078.9699999999993</v>
      </c>
      <c r="M54" s="2"/>
      <c r="N54" s="7">
        <f t="shared" si="31"/>
        <v>-0.71193860386879726</v>
      </c>
      <c r="O54" s="11"/>
      <c r="P54" s="6">
        <v>4110.0600000000004</v>
      </c>
      <c r="Q54" s="2"/>
      <c r="R54" s="7">
        <f t="shared" si="32"/>
        <v>0.61665021289875388</v>
      </c>
      <c r="S54" s="2"/>
      <c r="T54" s="6">
        <v>14268</v>
      </c>
      <c r="U54" s="2"/>
      <c r="V54" s="7">
        <f t="shared" si="33"/>
        <v>1.1401630174204891</v>
      </c>
      <c r="W54" s="2"/>
      <c r="X54" s="6">
        <f t="shared" si="34"/>
        <v>-10157.939999999999</v>
      </c>
      <c r="Y54" s="2"/>
      <c r="Z54" s="7">
        <f t="shared" si="35"/>
        <v>-0.71193860386879726</v>
      </c>
    </row>
    <row r="55" spans="1:26" s="28" customFormat="1" outlineLevel="1" collapsed="1" x14ac:dyDescent="0.3">
      <c r="A55" s="29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SUM(OSRRefD22_6x_0)</f>
        <v>0</v>
      </c>
      <c r="E55" s="1"/>
      <c r="F55" s="5">
        <f t="shared" ref="F55:F65" si="36">IF(D$12=0,0,D55/D$12)</f>
        <v>0</v>
      </c>
      <c r="G55" s="1"/>
      <c r="H55" s="1">
        <f>SUM(OSRRefH22_6x_0)</f>
        <v>176</v>
      </c>
      <c r="I55" s="1"/>
      <c r="J55" s="5">
        <f t="shared" ref="J55:J65" si="37">IF(H$12=0,0,H55/H$12)</f>
        <v>1.4064248042192744E-2</v>
      </c>
      <c r="K55" s="1"/>
      <c r="L55" s="1">
        <f t="shared" ref="L55:L65" si="38">+D55-H55</f>
        <v>-176</v>
      </c>
      <c r="M55" s="1"/>
      <c r="N55" s="5">
        <f t="shared" ref="N55:N65" si="39">IF(H55=0,0,L55/H55)</f>
        <v>-1</v>
      </c>
      <c r="O55" s="14"/>
      <c r="P55" s="1">
        <f>SUM(OSRRefP22_6x_0)</f>
        <v>0</v>
      </c>
      <c r="Q55" s="1"/>
      <c r="R55" s="5">
        <f t="shared" ref="R55:R65" si="40">IF(P$12=0,0,P55/P$12)</f>
        <v>0</v>
      </c>
      <c r="S55" s="1"/>
      <c r="T55" s="1">
        <f>SUM(OSRRefT22_6x_0)</f>
        <v>352</v>
      </c>
      <c r="U55" s="1"/>
      <c r="V55" s="5">
        <f t="shared" ref="V55:V65" si="41">IF(T$12=0,0,T55/T$12)</f>
        <v>2.8128496084385488E-2</v>
      </c>
      <c r="W55" s="1"/>
      <c r="X55" s="1">
        <f t="shared" ref="X55:X65" si="42">+P55-T55</f>
        <v>-352</v>
      </c>
      <c r="Y55" s="1"/>
      <c r="Z55" s="5">
        <f t="shared" ref="Z55:Z65" si="43">IF(T55=0,0,X55/T55)</f>
        <v>-1</v>
      </c>
    </row>
    <row r="56" spans="1:26" s="24" customFormat="1" hidden="1" outlineLevel="2" x14ac:dyDescent="0.3">
      <c r="A56" s="27"/>
      <c r="B56" s="11" t="str">
        <f>CONCATENATE("          ", "6351", " - ", "EQUIPMENT RENTAL")</f>
        <v xml:space="preserve">          6351 - EQUIPMENT RENTAL</v>
      </c>
      <c r="C56" s="11"/>
      <c r="D56" s="6"/>
      <c r="E56" s="2"/>
      <c r="F56" s="7">
        <f t="shared" si="36"/>
        <v>0</v>
      </c>
      <c r="G56" s="2"/>
      <c r="H56" s="6">
        <v>176</v>
      </c>
      <c r="I56" s="2"/>
      <c r="J56" s="7">
        <f t="shared" si="37"/>
        <v>1.4064248042192744E-2</v>
      </c>
      <c r="K56" s="2"/>
      <c r="L56" s="6">
        <f t="shared" si="38"/>
        <v>-176</v>
      </c>
      <c r="M56" s="2"/>
      <c r="N56" s="7">
        <f t="shared" si="39"/>
        <v>-1</v>
      </c>
      <c r="O56" s="11"/>
      <c r="P56" s="6"/>
      <c r="Q56" s="2"/>
      <c r="R56" s="7">
        <f t="shared" si="40"/>
        <v>0</v>
      </c>
      <c r="S56" s="2"/>
      <c r="T56" s="6">
        <v>352</v>
      </c>
      <c r="U56" s="2"/>
      <c r="V56" s="7">
        <f t="shared" si="41"/>
        <v>2.8128496084385488E-2</v>
      </c>
      <c r="W56" s="2"/>
      <c r="X56" s="6">
        <f t="shared" si="42"/>
        <v>-352</v>
      </c>
      <c r="Y56" s="2"/>
      <c r="Z56" s="7">
        <f t="shared" si="43"/>
        <v>-1</v>
      </c>
    </row>
    <row r="57" spans="1:26" s="28" customFormat="1" outlineLevel="1" collapsed="1" x14ac:dyDescent="0.3">
      <c r="A57" s="29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SUM(OSRRefD22_7x_0)</f>
        <v>1612</v>
      </c>
      <c r="E57" s="1"/>
      <c r="F57" s="5">
        <f t="shared" si="36"/>
        <v>0.24185538488313824</v>
      </c>
      <c r="G57" s="1"/>
      <c r="H57" s="1">
        <f>SUM(OSRRefH22_7x_0)</f>
        <v>0</v>
      </c>
      <c r="I57" s="1"/>
      <c r="J57" s="5">
        <f t="shared" si="37"/>
        <v>0</v>
      </c>
      <c r="K57" s="1"/>
      <c r="L57" s="1">
        <f t="shared" si="38"/>
        <v>1612</v>
      </c>
      <c r="M57" s="1"/>
      <c r="N57" s="5">
        <f t="shared" si="39"/>
        <v>0</v>
      </c>
      <c r="O57" s="14"/>
      <c r="P57" s="1">
        <f>SUM(OSRRefP22_7x_0)</f>
        <v>1612</v>
      </c>
      <c r="Q57" s="1"/>
      <c r="R57" s="5">
        <f t="shared" si="40"/>
        <v>0.24185538488313824</v>
      </c>
      <c r="S57" s="1"/>
      <c r="T57" s="1">
        <f>SUM(OSRRefT22_7x_0)</f>
        <v>0</v>
      </c>
      <c r="U57" s="1"/>
      <c r="V57" s="5">
        <f t="shared" si="41"/>
        <v>0</v>
      </c>
      <c r="W57" s="1"/>
      <c r="X57" s="1">
        <f t="shared" si="42"/>
        <v>1612</v>
      </c>
      <c r="Y57" s="1"/>
      <c r="Z57" s="5">
        <f t="shared" si="43"/>
        <v>0</v>
      </c>
    </row>
    <row r="58" spans="1:26" s="24" customFormat="1" hidden="1" outlineLevel="2" x14ac:dyDescent="0.3">
      <c r="A58" s="27"/>
      <c r="B58" s="11" t="str">
        <f>CONCATENATE("          ", "6279", " - ", "GENERAL EXPENSE")</f>
        <v xml:space="preserve">          6279 - GENERAL EXPENSE</v>
      </c>
      <c r="C58" s="11"/>
      <c r="D58" s="6">
        <v>1612</v>
      </c>
      <c r="E58" s="2"/>
      <c r="F58" s="7">
        <f t="shared" si="36"/>
        <v>0.24185538488313824</v>
      </c>
      <c r="G58" s="2"/>
      <c r="H58" s="6"/>
      <c r="I58" s="2"/>
      <c r="J58" s="7">
        <f t="shared" si="37"/>
        <v>0</v>
      </c>
      <c r="K58" s="2"/>
      <c r="L58" s="6">
        <f t="shared" si="38"/>
        <v>1612</v>
      </c>
      <c r="M58" s="2"/>
      <c r="N58" s="7">
        <f t="shared" si="39"/>
        <v>0</v>
      </c>
      <c r="O58" s="11"/>
      <c r="P58" s="6">
        <v>1612</v>
      </c>
      <c r="Q58" s="2"/>
      <c r="R58" s="7">
        <f t="shared" si="40"/>
        <v>0.24185538488313824</v>
      </c>
      <c r="S58" s="2"/>
      <c r="T58" s="6"/>
      <c r="U58" s="2"/>
      <c r="V58" s="7">
        <f t="shared" si="41"/>
        <v>0</v>
      </c>
      <c r="W58" s="2"/>
      <c r="X58" s="6">
        <f t="shared" si="42"/>
        <v>1612</v>
      </c>
      <c r="Y58" s="2"/>
      <c r="Z58" s="7">
        <f t="shared" si="43"/>
        <v>0</v>
      </c>
    </row>
    <row r="59" spans="1:26" s="28" customFormat="1" outlineLevel="1" collapsed="1" x14ac:dyDescent="0.3">
      <c r="A59" s="29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SUM(OSRRefD22_8x_0)</f>
        <v>331.01</v>
      </c>
      <c r="E59" s="1"/>
      <c r="F59" s="5">
        <f t="shared" si="36"/>
        <v>4.9662872797870711E-2</v>
      </c>
      <c r="G59" s="1"/>
      <c r="H59" s="1">
        <f>SUM(OSRRefH22_8x_0)</f>
        <v>330</v>
      </c>
      <c r="I59" s="1"/>
      <c r="J59" s="5">
        <f t="shared" si="37"/>
        <v>2.6370465079111394E-2</v>
      </c>
      <c r="K59" s="1"/>
      <c r="L59" s="1">
        <f t="shared" si="38"/>
        <v>1.0099999999999909</v>
      </c>
      <c r="M59" s="1"/>
      <c r="N59" s="5">
        <f t="shared" si="39"/>
        <v>3.0606060606060332E-3</v>
      </c>
      <c r="O59" s="14"/>
      <c r="P59" s="1">
        <f>SUM(OSRRefP22_8x_0)</f>
        <v>662.02</v>
      </c>
      <c r="Q59" s="1"/>
      <c r="R59" s="5">
        <f t="shared" si="40"/>
        <v>9.9325745595741421E-2</v>
      </c>
      <c r="S59" s="1"/>
      <c r="T59" s="1">
        <f>SUM(OSRRefT22_8x_0)</f>
        <v>660</v>
      </c>
      <c r="U59" s="1"/>
      <c r="V59" s="5">
        <f t="shared" si="41"/>
        <v>5.2740930158222787E-2</v>
      </c>
      <c r="W59" s="1"/>
      <c r="X59" s="1">
        <f t="shared" si="42"/>
        <v>2.0199999999999818</v>
      </c>
      <c r="Y59" s="1"/>
      <c r="Z59" s="5">
        <f t="shared" si="43"/>
        <v>3.0606060606060332E-3</v>
      </c>
    </row>
    <row r="60" spans="1:26" s="24" customFormat="1" hidden="1" outlineLevel="2" x14ac:dyDescent="0.3">
      <c r="A60" s="27"/>
      <c r="B60" s="11" t="str">
        <f>CONCATENATE("          ", "6314", " - ", "LIABILITY INSURANCE")</f>
        <v xml:space="preserve">          6314 - LIABILITY INSURANCE</v>
      </c>
      <c r="C60" s="11"/>
      <c r="D60" s="6">
        <v>331.01</v>
      </c>
      <c r="E60" s="2"/>
      <c r="F60" s="7">
        <f t="shared" si="36"/>
        <v>4.9662872797870711E-2</v>
      </c>
      <c r="G60" s="2"/>
      <c r="H60" s="6">
        <v>330</v>
      </c>
      <c r="I60" s="2"/>
      <c r="J60" s="7">
        <f t="shared" si="37"/>
        <v>2.6370465079111394E-2</v>
      </c>
      <c r="K60" s="2"/>
      <c r="L60" s="6">
        <f t="shared" si="38"/>
        <v>1.0099999999999909</v>
      </c>
      <c r="M60" s="2"/>
      <c r="N60" s="7">
        <f t="shared" si="39"/>
        <v>3.0606060606060332E-3</v>
      </c>
      <c r="O60" s="11"/>
      <c r="P60" s="6">
        <v>662.02</v>
      </c>
      <c r="Q60" s="2"/>
      <c r="R60" s="7">
        <f t="shared" si="40"/>
        <v>9.9325745595741421E-2</v>
      </c>
      <c r="S60" s="2"/>
      <c r="T60" s="6">
        <v>660</v>
      </c>
      <c r="U60" s="2"/>
      <c r="V60" s="7">
        <f t="shared" si="41"/>
        <v>5.2740930158222787E-2</v>
      </c>
      <c r="W60" s="2"/>
      <c r="X60" s="6">
        <f t="shared" si="42"/>
        <v>2.0199999999999818</v>
      </c>
      <c r="Y60" s="2"/>
      <c r="Z60" s="7">
        <f t="shared" si="43"/>
        <v>3.0606060606060332E-3</v>
      </c>
    </row>
    <row r="61" spans="1:26" s="28" customFormat="1" outlineLevel="1" collapsed="1" x14ac:dyDescent="0.3">
      <c r="A61" s="29"/>
      <c r="B61" s="14" t="str">
        <f>CONCATENATE("     ","Interest                                          ")</f>
        <v xml:space="preserve">     Interest                                          </v>
      </c>
      <c r="C61" s="14"/>
      <c r="D61" s="1">
        <f>SUM(OSRRefD22_9x_0)</f>
        <v>3905</v>
      </c>
      <c r="E61" s="1"/>
      <c r="F61" s="5">
        <f t="shared" si="36"/>
        <v>0.58588416747435157</v>
      </c>
      <c r="G61" s="1"/>
      <c r="H61" s="1">
        <f>SUM(OSRRefH22_9x_0)</f>
        <v>3905</v>
      </c>
      <c r="I61" s="1"/>
      <c r="J61" s="5">
        <f t="shared" si="37"/>
        <v>0.31205050343615148</v>
      </c>
      <c r="K61" s="1"/>
      <c r="L61" s="1">
        <f t="shared" si="38"/>
        <v>0</v>
      </c>
      <c r="M61" s="1"/>
      <c r="N61" s="5">
        <f t="shared" si="39"/>
        <v>0</v>
      </c>
      <c r="O61" s="14"/>
      <c r="P61" s="1">
        <f>SUM(OSRRefP22_9x_0)</f>
        <v>7810</v>
      </c>
      <c r="Q61" s="1"/>
      <c r="R61" s="5">
        <f t="shared" si="40"/>
        <v>1.1717683349487031</v>
      </c>
      <c r="S61" s="1"/>
      <c r="T61" s="1">
        <f>SUM(OSRRefT22_9x_0)</f>
        <v>7810</v>
      </c>
      <c r="U61" s="1"/>
      <c r="V61" s="5">
        <f t="shared" si="41"/>
        <v>0.62410100687230297</v>
      </c>
      <c r="W61" s="1"/>
      <c r="X61" s="1">
        <f t="shared" si="42"/>
        <v>0</v>
      </c>
      <c r="Y61" s="1"/>
      <c r="Z61" s="5">
        <f t="shared" si="43"/>
        <v>0</v>
      </c>
    </row>
    <row r="62" spans="1:26" s="24" customFormat="1" hidden="1" outlineLevel="2" x14ac:dyDescent="0.3">
      <c r="A62" s="27"/>
      <c r="B62" s="11" t="str">
        <f>CONCATENATE("          ", "6401", " - ", "INTEREST EXPENSE")</f>
        <v xml:space="preserve">          6401 - INTEREST EXPENSE</v>
      </c>
      <c r="C62" s="11"/>
      <c r="D62" s="6">
        <v>3905</v>
      </c>
      <c r="E62" s="2"/>
      <c r="F62" s="7">
        <f t="shared" si="36"/>
        <v>0.58588416747435157</v>
      </c>
      <c r="G62" s="2"/>
      <c r="H62" s="6">
        <v>3905</v>
      </c>
      <c r="I62" s="2"/>
      <c r="J62" s="7">
        <f t="shared" si="37"/>
        <v>0.31205050343615148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7810</v>
      </c>
      <c r="Q62" s="2"/>
      <c r="R62" s="7">
        <f t="shared" si="40"/>
        <v>1.1717683349487031</v>
      </c>
      <c r="S62" s="2"/>
      <c r="T62" s="6">
        <v>7810</v>
      </c>
      <c r="U62" s="2"/>
      <c r="V62" s="7">
        <f t="shared" si="41"/>
        <v>0.62410100687230297</v>
      </c>
      <c r="W62" s="2"/>
      <c r="X62" s="6">
        <f t="shared" si="42"/>
        <v>0</v>
      </c>
      <c r="Y62" s="2"/>
      <c r="Z62" s="7">
        <f t="shared" si="43"/>
        <v>0</v>
      </c>
    </row>
    <row r="63" spans="1:26" s="28" customFormat="1" outlineLevel="1" collapsed="1" x14ac:dyDescent="0.3">
      <c r="A63" s="29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SUM(OSRRefD22_10x_0)</f>
        <v>1922.99</v>
      </c>
      <c r="E63" s="1"/>
      <c r="F63" s="5">
        <f t="shared" si="36"/>
        <v>0.28851456983649254</v>
      </c>
      <c r="G63" s="1"/>
      <c r="H63" s="1">
        <f>SUM(OSRRefH22_10x_0)</f>
        <v>776</v>
      </c>
      <c r="I63" s="1"/>
      <c r="J63" s="5">
        <f t="shared" si="37"/>
        <v>6.2010548186031647E-2</v>
      </c>
      <c r="K63" s="1"/>
      <c r="L63" s="1">
        <f t="shared" si="38"/>
        <v>1146.99</v>
      </c>
      <c r="M63" s="1"/>
      <c r="N63" s="5">
        <f t="shared" si="39"/>
        <v>1.4780798969072164</v>
      </c>
      <c r="O63" s="14"/>
      <c r="P63" s="1">
        <f>SUM(OSRRefP22_10x_0)</f>
        <v>1922.99</v>
      </c>
      <c r="Q63" s="1"/>
      <c r="R63" s="5">
        <f t="shared" si="40"/>
        <v>0.28851456983649254</v>
      </c>
      <c r="S63" s="1"/>
      <c r="T63" s="1">
        <f>SUM(OSRRefT22_10x_0)</f>
        <v>2238</v>
      </c>
      <c r="U63" s="1"/>
      <c r="V63" s="5">
        <f t="shared" si="41"/>
        <v>0.1788396995365191</v>
      </c>
      <c r="W63" s="1"/>
      <c r="X63" s="1">
        <f t="shared" si="42"/>
        <v>-315.01</v>
      </c>
      <c r="Y63" s="1"/>
      <c r="Z63" s="5">
        <f t="shared" si="43"/>
        <v>-0.14075513851653262</v>
      </c>
    </row>
    <row r="64" spans="1:26" s="24" customFormat="1" hidden="1" outlineLevel="2" x14ac:dyDescent="0.3">
      <c r="A64" s="27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/>
      <c r="Q64" s="2"/>
      <c r="R64" s="7">
        <f t="shared" si="40"/>
        <v>0</v>
      </c>
      <c r="S64" s="2"/>
      <c r="T64" s="6">
        <v>410</v>
      </c>
      <c r="U64" s="2"/>
      <c r="V64" s="7">
        <f t="shared" si="41"/>
        <v>3.2763305098289917E-2</v>
      </c>
      <c r="W64" s="2"/>
      <c r="X64" s="6">
        <f t="shared" si="42"/>
        <v>-410</v>
      </c>
      <c r="Y64" s="2"/>
      <c r="Z64" s="7">
        <f t="shared" si="43"/>
        <v>-1</v>
      </c>
    </row>
    <row r="65" spans="1:26" s="24" customFormat="1" hidden="1" outlineLevel="2" x14ac:dyDescent="0.3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6">
        <v>1922.99</v>
      </c>
      <c r="E65" s="2"/>
      <c r="F65" s="7">
        <f t="shared" si="36"/>
        <v>0.28851456983649254</v>
      </c>
      <c r="G65" s="2"/>
      <c r="H65" s="6">
        <v>776</v>
      </c>
      <c r="I65" s="2"/>
      <c r="J65" s="7">
        <f t="shared" si="37"/>
        <v>6.2010548186031647E-2</v>
      </c>
      <c r="K65" s="2"/>
      <c r="L65" s="6">
        <f t="shared" si="38"/>
        <v>1146.99</v>
      </c>
      <c r="M65" s="2"/>
      <c r="N65" s="7">
        <f t="shared" si="39"/>
        <v>1.4780798969072164</v>
      </c>
      <c r="O65" s="11"/>
      <c r="P65" s="6">
        <v>1922.99</v>
      </c>
      <c r="Q65" s="2"/>
      <c r="R65" s="7">
        <f t="shared" si="40"/>
        <v>0.28851456983649254</v>
      </c>
      <c r="S65" s="2"/>
      <c r="T65" s="6">
        <v>1828</v>
      </c>
      <c r="U65" s="2"/>
      <c r="V65" s="7">
        <f t="shared" si="41"/>
        <v>0.14607639443822917</v>
      </c>
      <c r="W65" s="2"/>
      <c r="X65" s="6">
        <f t="shared" si="42"/>
        <v>94.990000000000009</v>
      </c>
      <c r="Y65" s="2"/>
      <c r="Z65" s="7">
        <f t="shared" si="43"/>
        <v>5.1963894967177245E-2</v>
      </c>
    </row>
    <row r="66" spans="1:26" s="28" customFormat="1" outlineLevel="1" collapsed="1" x14ac:dyDescent="0.3">
      <c r="A66" s="29"/>
      <c r="B66" s="14" t="str">
        <f>CONCATENATE("     ","Royalty &amp; Commissions                             ")</f>
        <v xml:space="preserve">     Royalty &amp; Commissions                             </v>
      </c>
      <c r="C66" s="14"/>
      <c r="D66" s="1">
        <f>SUM(OSRRefD22_11x_0)</f>
        <v>0</v>
      </c>
      <c r="E66" s="1"/>
      <c r="F66" s="5">
        <f t="shared" ref="F66:F71" si="44">IF(D$12=0,0,D66/D$12)</f>
        <v>0</v>
      </c>
      <c r="G66" s="1"/>
      <c r="H66" s="1">
        <f>SUM(OSRRefH22_11x_0)</f>
        <v>405</v>
      </c>
      <c r="I66" s="1"/>
      <c r="J66" s="5">
        <f t="shared" ref="J66:J71" si="45">IF(H$12=0,0,H66/H$12)</f>
        <v>3.2363752597091261E-2</v>
      </c>
      <c r="K66" s="1"/>
      <c r="L66" s="1">
        <f t="shared" ref="L66:L71" si="46">+D66-H66</f>
        <v>-405</v>
      </c>
      <c r="M66" s="1"/>
      <c r="N66" s="5">
        <f t="shared" ref="N66:N71" si="47">IF(H66=0,0,L66/H66)</f>
        <v>-1</v>
      </c>
      <c r="O66" s="14"/>
      <c r="P66" s="1">
        <f>SUM(OSRRefP22_11x_0)</f>
        <v>0</v>
      </c>
      <c r="Q66" s="1"/>
      <c r="R66" s="5">
        <f t="shared" ref="R66:R71" si="48">IF(P$12=0,0,P66/P$12)</f>
        <v>0</v>
      </c>
      <c r="S66" s="1"/>
      <c r="T66" s="1">
        <f>SUM(OSRRefT22_11x_0)</f>
        <v>405</v>
      </c>
      <c r="U66" s="1"/>
      <c r="V66" s="5">
        <f t="shared" ref="V66:V71" si="49">IF(T$12=0,0,T66/T$12)</f>
        <v>3.2363752597091261E-2</v>
      </c>
      <c r="W66" s="1"/>
      <c r="X66" s="1">
        <f t="shared" ref="X66:X71" si="50">+P66-T66</f>
        <v>-405</v>
      </c>
      <c r="Y66" s="1"/>
      <c r="Z66" s="5">
        <f t="shared" ref="Z66:Z71" si="51">IF(T66=0,0,X66/T66)</f>
        <v>-1</v>
      </c>
    </row>
    <row r="67" spans="1:26" s="24" customFormat="1" hidden="1" outlineLevel="2" x14ac:dyDescent="0.3">
      <c r="A67" s="27"/>
      <c r="B67" s="11" t="str">
        <f>CONCATENATE("          ", "6259", " - ", "ROYALTY &amp; COMMISSIONS")</f>
        <v xml:space="preserve">          6259 - ROYALTY &amp; COMMISSIONS</v>
      </c>
      <c r="C67" s="11"/>
      <c r="D67" s="6"/>
      <c r="E67" s="2"/>
      <c r="F67" s="7">
        <f t="shared" si="44"/>
        <v>0</v>
      </c>
      <c r="G67" s="2"/>
      <c r="H67" s="6">
        <v>405</v>
      </c>
      <c r="I67" s="2"/>
      <c r="J67" s="7">
        <f t="shared" si="45"/>
        <v>3.2363752597091261E-2</v>
      </c>
      <c r="K67" s="2"/>
      <c r="L67" s="6">
        <f t="shared" si="46"/>
        <v>-405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405</v>
      </c>
      <c r="U67" s="2"/>
      <c r="V67" s="7">
        <f t="shared" si="49"/>
        <v>3.2363752597091261E-2</v>
      </c>
      <c r="W67" s="2"/>
      <c r="X67" s="6">
        <f t="shared" si="50"/>
        <v>-405</v>
      </c>
      <c r="Y67" s="2"/>
      <c r="Z67" s="7">
        <f t="shared" si="51"/>
        <v>-1</v>
      </c>
    </row>
    <row r="68" spans="1:26" s="28" customFormat="1" outlineLevel="1" collapsed="1" x14ac:dyDescent="0.3">
      <c r="A68" s="29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SUM(OSRRefD22_12x_0)</f>
        <v>7775.8899999999994</v>
      </c>
      <c r="E68" s="1"/>
      <c r="F68" s="5">
        <f t="shared" si="44"/>
        <v>1.1666506630018272</v>
      </c>
      <c r="G68" s="1"/>
      <c r="H68" s="1">
        <f>SUM(OSRRefH22_12x_0)</f>
        <v>301</v>
      </c>
      <c r="I68" s="1"/>
      <c r="J68" s="5">
        <f t="shared" si="45"/>
        <v>2.4053060572159182E-2</v>
      </c>
      <c r="K68" s="1"/>
      <c r="L68" s="1">
        <f t="shared" si="46"/>
        <v>7474.8899999999994</v>
      </c>
      <c r="M68" s="1"/>
      <c r="N68" s="5">
        <f t="shared" si="47"/>
        <v>24.833521594684385</v>
      </c>
      <c r="O68" s="14"/>
      <c r="P68" s="1">
        <f>SUM(OSRRefP22_12x_0)</f>
        <v>7927.74</v>
      </c>
      <c r="Q68" s="1"/>
      <c r="R68" s="5">
        <f t="shared" si="48"/>
        <v>1.1894333802440757</v>
      </c>
      <c r="S68" s="1"/>
      <c r="T68" s="1">
        <f>SUM(OSRRefT22_12x_0)</f>
        <v>301</v>
      </c>
      <c r="U68" s="1"/>
      <c r="V68" s="5">
        <f t="shared" si="49"/>
        <v>2.4053060572159182E-2</v>
      </c>
      <c r="W68" s="1"/>
      <c r="X68" s="1">
        <f t="shared" si="50"/>
        <v>7626.74</v>
      </c>
      <c r="Y68" s="1"/>
      <c r="Z68" s="5">
        <f t="shared" si="51"/>
        <v>25.338006644518273</v>
      </c>
    </row>
    <row r="69" spans="1:26" s="24" customFormat="1" hidden="1" outlineLevel="2" x14ac:dyDescent="0.3">
      <c r="A69" s="27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320.25</v>
      </c>
      <c r="E69" s="2"/>
      <c r="F69" s="7">
        <f t="shared" si="44"/>
        <v>4.8048503107211551E-2</v>
      </c>
      <c r="G69" s="2"/>
      <c r="H69" s="6">
        <v>258</v>
      </c>
      <c r="I69" s="2"/>
      <c r="J69" s="7">
        <f t="shared" si="45"/>
        <v>2.0616909061850729E-2</v>
      </c>
      <c r="K69" s="2"/>
      <c r="L69" s="6">
        <f t="shared" si="46"/>
        <v>62.25</v>
      </c>
      <c r="M69" s="2"/>
      <c r="N69" s="7">
        <f t="shared" si="47"/>
        <v>0.24127906976744187</v>
      </c>
      <c r="O69" s="11"/>
      <c r="P69" s="6">
        <v>472.1</v>
      </c>
      <c r="Q69" s="2"/>
      <c r="R69" s="7">
        <f t="shared" si="48"/>
        <v>7.0831220349460031E-2</v>
      </c>
      <c r="S69" s="2"/>
      <c r="T69" s="6">
        <v>258</v>
      </c>
      <c r="U69" s="2"/>
      <c r="V69" s="7">
        <f t="shared" si="49"/>
        <v>2.0616909061850729E-2</v>
      </c>
      <c r="W69" s="2"/>
      <c r="X69" s="6">
        <f t="shared" si="50"/>
        <v>214.10000000000002</v>
      </c>
      <c r="Y69" s="2"/>
      <c r="Z69" s="7">
        <f t="shared" si="51"/>
        <v>0.82984496124031015</v>
      </c>
    </row>
    <row r="70" spans="1:26" s="24" customFormat="1" hidden="1" outlineLevel="2" x14ac:dyDescent="0.3">
      <c r="A70" s="27"/>
      <c r="B70" s="11" t="str">
        <f>CONCATENATE("          ", "6285", " - ", "JANITORIAL SERVICES")</f>
        <v xml:space="preserve">          6285 - JANITORIAL SERVICES</v>
      </c>
      <c r="C70" s="11"/>
      <c r="D70" s="6">
        <v>7403.7</v>
      </c>
      <c r="E70" s="2"/>
      <c r="F70" s="7">
        <f t="shared" si="44"/>
        <v>1.1108093753469543</v>
      </c>
      <c r="G70" s="2"/>
      <c r="H70" s="6"/>
      <c r="I70" s="2"/>
      <c r="J70" s="7">
        <f t="shared" si="45"/>
        <v>0</v>
      </c>
      <c r="K70" s="2"/>
      <c r="L70" s="6">
        <f t="shared" si="46"/>
        <v>7403.7</v>
      </c>
      <c r="M70" s="2"/>
      <c r="N70" s="7">
        <f t="shared" si="47"/>
        <v>0</v>
      </c>
      <c r="O70" s="11"/>
      <c r="P70" s="6">
        <v>7403.7</v>
      </c>
      <c r="Q70" s="2"/>
      <c r="R70" s="7">
        <f t="shared" si="48"/>
        <v>1.1108093753469543</v>
      </c>
      <c r="S70" s="2"/>
      <c r="T70" s="6"/>
      <c r="U70" s="2"/>
      <c r="V70" s="7">
        <f t="shared" si="49"/>
        <v>0</v>
      </c>
      <c r="W70" s="2"/>
      <c r="X70" s="6">
        <f t="shared" si="50"/>
        <v>7403.7</v>
      </c>
      <c r="Y70" s="2"/>
      <c r="Z70" s="7">
        <f t="shared" si="51"/>
        <v>0</v>
      </c>
    </row>
    <row r="71" spans="1:26" s="24" customFormat="1" hidden="1" outlineLevel="2" x14ac:dyDescent="0.3">
      <c r="A71" s="27"/>
      <c r="B71" s="11" t="str">
        <f>CONCATENATE("          ", "6286", " - ", "LAUNDRY EXPENSE")</f>
        <v xml:space="preserve">          6286 - LAUNDRY EXPENSE</v>
      </c>
      <c r="C71" s="11"/>
      <c r="D71" s="6">
        <v>51.94</v>
      </c>
      <c r="E71" s="2"/>
      <c r="F71" s="7">
        <f t="shared" si="44"/>
        <v>7.7927845476614141E-3</v>
      </c>
      <c r="G71" s="2"/>
      <c r="H71" s="6">
        <v>43</v>
      </c>
      <c r="I71" s="2"/>
      <c r="J71" s="7">
        <f t="shared" si="45"/>
        <v>3.4361515103084545E-3</v>
      </c>
      <c r="K71" s="2"/>
      <c r="L71" s="6">
        <f t="shared" si="46"/>
        <v>8.9399999999999977</v>
      </c>
      <c r="M71" s="2"/>
      <c r="N71" s="7">
        <f t="shared" si="47"/>
        <v>0.20790697674418598</v>
      </c>
      <c r="O71" s="11"/>
      <c r="P71" s="6">
        <v>51.94</v>
      </c>
      <c r="Q71" s="2"/>
      <c r="R71" s="7">
        <f t="shared" si="48"/>
        <v>7.7927845476614141E-3</v>
      </c>
      <c r="S71" s="2"/>
      <c r="T71" s="6">
        <v>43</v>
      </c>
      <c r="U71" s="2"/>
      <c r="V71" s="7">
        <f t="shared" si="49"/>
        <v>3.4361515103084545E-3</v>
      </c>
      <c r="W71" s="2"/>
      <c r="X71" s="6">
        <f t="shared" si="50"/>
        <v>8.9399999999999977</v>
      </c>
      <c r="Y71" s="2"/>
      <c r="Z71" s="7">
        <f t="shared" si="51"/>
        <v>0.20790697674418598</v>
      </c>
    </row>
    <row r="72" spans="1:26" s="28" customFormat="1" outlineLevel="1" collapsed="1" x14ac:dyDescent="0.3">
      <c r="A72" s="29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SUM(OSRRefD22_13x_0)</f>
        <v>730.46</v>
      </c>
      <c r="E72" s="1"/>
      <c r="F72" s="5">
        <f t="shared" ref="F72:F77" si="52">IF(D$12=0,0,D72/D$12)</f>
        <v>0.10959409704822404</v>
      </c>
      <c r="G72" s="1"/>
      <c r="H72" s="1">
        <f>SUM(OSRRefH22_13x_0)</f>
        <v>2450</v>
      </c>
      <c r="I72" s="1"/>
      <c r="J72" s="5">
        <f t="shared" ref="J72:J77" si="53">IF(H$12=0,0,H72/H$12)</f>
        <v>0.19578072558734216</v>
      </c>
      <c r="K72" s="1"/>
      <c r="L72" s="1">
        <f t="shared" ref="L72:L77" si="54">+D72-H72</f>
        <v>-1719.54</v>
      </c>
      <c r="M72" s="1"/>
      <c r="N72" s="5">
        <f t="shared" ref="N72:N77" si="55">IF(H72=0,0,L72/H72)</f>
        <v>-0.70185306122448976</v>
      </c>
      <c r="O72" s="14"/>
      <c r="P72" s="1">
        <f>SUM(OSRRefP22_13x_0)</f>
        <v>842.7</v>
      </c>
      <c r="Q72" s="1"/>
      <c r="R72" s="5">
        <f t="shared" ref="R72:R77" si="56">IF(P$12=0,0,P72/P$12)</f>
        <v>0.12643395337532295</v>
      </c>
      <c r="S72" s="1"/>
      <c r="T72" s="1">
        <f>SUM(OSRRefT22_13x_0)</f>
        <v>2450</v>
      </c>
      <c r="U72" s="1"/>
      <c r="V72" s="5">
        <f t="shared" ref="V72:V77" si="57">IF(T$12=0,0,T72/T$12)</f>
        <v>0.19578072558734216</v>
      </c>
      <c r="W72" s="1"/>
      <c r="X72" s="1">
        <f t="shared" ref="X72:X77" si="58">+P72-T72</f>
        <v>-1607.3</v>
      </c>
      <c r="Y72" s="1"/>
      <c r="Z72" s="5">
        <f t="shared" ref="Z72:Z77" si="59">IF(T72=0,0,X72/T72)</f>
        <v>-0.65604081632653055</v>
      </c>
    </row>
    <row r="73" spans="1:26" s="24" customFormat="1" hidden="1" outlineLevel="2" x14ac:dyDescent="0.3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52"/>
        <v>0</v>
      </c>
      <c r="G73" s="2"/>
      <c r="H73" s="6">
        <v>200</v>
      </c>
      <c r="I73" s="2"/>
      <c r="J73" s="7">
        <f t="shared" si="53"/>
        <v>1.5982100047946299E-2</v>
      </c>
      <c r="K73" s="2"/>
      <c r="L73" s="6">
        <f t="shared" si="54"/>
        <v>-200</v>
      </c>
      <c r="M73" s="2"/>
      <c r="N73" s="7">
        <f t="shared" si="55"/>
        <v>-1</v>
      </c>
      <c r="O73" s="11"/>
      <c r="P73" s="6"/>
      <c r="Q73" s="2"/>
      <c r="R73" s="7">
        <f t="shared" si="56"/>
        <v>0</v>
      </c>
      <c r="S73" s="2"/>
      <c r="T73" s="6">
        <v>200</v>
      </c>
      <c r="U73" s="2"/>
      <c r="V73" s="7">
        <f t="shared" si="57"/>
        <v>1.5982100047946299E-2</v>
      </c>
      <c r="W73" s="2"/>
      <c r="X73" s="6">
        <f t="shared" si="58"/>
        <v>-200</v>
      </c>
      <c r="Y73" s="2"/>
      <c r="Z73" s="7">
        <f t="shared" si="59"/>
        <v>-1</v>
      </c>
    </row>
    <row r="74" spans="1:26" s="24" customFormat="1" hidden="1" outlineLevel="2" x14ac:dyDescent="0.3">
      <c r="A74" s="27"/>
      <c r="B74" s="11" t="str">
        <f>CONCATENATE("          ", "6237", " - ", "JANITORIAL SUPPLIES")</f>
        <v xml:space="preserve">          6237 - JANITORIAL SUPPLIES</v>
      </c>
      <c r="C74" s="11"/>
      <c r="D74" s="6">
        <v>407.96</v>
      </c>
      <c r="E74" s="2"/>
      <c r="F74" s="7">
        <f t="shared" si="52"/>
        <v>6.1208016635809596E-2</v>
      </c>
      <c r="G74" s="2"/>
      <c r="H74" s="6">
        <v>50</v>
      </c>
      <c r="I74" s="2"/>
      <c r="J74" s="7">
        <f t="shared" si="53"/>
        <v>3.9955250119865747E-3</v>
      </c>
      <c r="K74" s="2"/>
      <c r="L74" s="6">
        <f t="shared" si="54"/>
        <v>357.96</v>
      </c>
      <c r="M74" s="2"/>
      <c r="N74" s="7">
        <f t="shared" si="55"/>
        <v>7.1591999999999993</v>
      </c>
      <c r="O74" s="11"/>
      <c r="P74" s="6">
        <v>407.96</v>
      </c>
      <c r="Q74" s="2"/>
      <c r="R74" s="7">
        <f t="shared" si="56"/>
        <v>6.1208016635809596E-2</v>
      </c>
      <c r="S74" s="2"/>
      <c r="T74" s="6">
        <v>50</v>
      </c>
      <c r="U74" s="2"/>
      <c r="V74" s="7">
        <f t="shared" si="57"/>
        <v>3.9955250119865747E-3</v>
      </c>
      <c r="W74" s="2"/>
      <c r="X74" s="6">
        <f t="shared" si="58"/>
        <v>357.96</v>
      </c>
      <c r="Y74" s="2"/>
      <c r="Z74" s="7">
        <f t="shared" si="59"/>
        <v>7.1591999999999993</v>
      </c>
    </row>
    <row r="75" spans="1:26" s="24" customFormat="1" hidden="1" outlineLevel="2" x14ac:dyDescent="0.3">
      <c r="A75" s="27"/>
      <c r="B75" s="11" t="str">
        <f>CONCATENATE("          ", "6241", " - ", "OFFICE EXPENSE")</f>
        <v xml:space="preserve">          6241 - OFFICE EXPENSE</v>
      </c>
      <c r="C75" s="11"/>
      <c r="D75" s="6">
        <v>22.5</v>
      </c>
      <c r="E75" s="2"/>
      <c r="F75" s="7">
        <f t="shared" si="52"/>
        <v>3.3757730520289145E-3</v>
      </c>
      <c r="G75" s="2"/>
      <c r="H75" s="6"/>
      <c r="I75" s="2"/>
      <c r="J75" s="7">
        <f t="shared" si="53"/>
        <v>0</v>
      </c>
      <c r="K75" s="2"/>
      <c r="L75" s="6">
        <f t="shared" si="54"/>
        <v>22.5</v>
      </c>
      <c r="M75" s="2"/>
      <c r="N75" s="7">
        <f t="shared" si="55"/>
        <v>0</v>
      </c>
      <c r="O75" s="11"/>
      <c r="P75" s="6">
        <v>134.74</v>
      </c>
      <c r="Q75" s="2"/>
      <c r="R75" s="7">
        <f t="shared" si="56"/>
        <v>2.0215629379127822E-2</v>
      </c>
      <c r="S75" s="2"/>
      <c r="T75" s="6"/>
      <c r="U75" s="2"/>
      <c r="V75" s="7">
        <f t="shared" si="57"/>
        <v>0</v>
      </c>
      <c r="W75" s="2"/>
      <c r="X75" s="6">
        <f t="shared" si="58"/>
        <v>134.74</v>
      </c>
      <c r="Y75" s="2"/>
      <c r="Z75" s="7">
        <f t="shared" si="59"/>
        <v>0</v>
      </c>
    </row>
    <row r="76" spans="1:26" s="24" customFormat="1" hidden="1" outlineLevel="2" x14ac:dyDescent="0.3">
      <c r="A76" s="27"/>
      <c r="B76" s="11" t="str">
        <f>CONCATENATE("          ", "6243", " - ", "PAPER SUPPLIES")</f>
        <v xml:space="preserve">          6243 - PAPER SUPPLIES</v>
      </c>
      <c r="C76" s="11"/>
      <c r="D76" s="6"/>
      <c r="E76" s="2"/>
      <c r="F76" s="7">
        <f t="shared" si="52"/>
        <v>0</v>
      </c>
      <c r="G76" s="2"/>
      <c r="H76" s="6">
        <v>200</v>
      </c>
      <c r="I76" s="2"/>
      <c r="J76" s="7">
        <f t="shared" si="53"/>
        <v>1.5982100047946299E-2</v>
      </c>
      <c r="K76" s="2"/>
      <c r="L76" s="6">
        <f t="shared" si="54"/>
        <v>-200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200</v>
      </c>
      <c r="U76" s="2"/>
      <c r="V76" s="7">
        <f t="shared" si="57"/>
        <v>1.5982100047946299E-2</v>
      </c>
      <c r="W76" s="2"/>
      <c r="X76" s="6">
        <f t="shared" si="58"/>
        <v>-200</v>
      </c>
      <c r="Y76" s="2"/>
      <c r="Z76" s="7">
        <f t="shared" si="59"/>
        <v>-1</v>
      </c>
    </row>
    <row r="77" spans="1:26" s="24" customFormat="1" hidden="1" outlineLevel="2" x14ac:dyDescent="0.3">
      <c r="A77" s="27"/>
      <c r="B77" s="11" t="str">
        <f>CONCATENATE("          ", "6247", " - ", "STORE SUPPLIES")</f>
        <v xml:space="preserve">          6247 - STORE SUPPLIES</v>
      </c>
      <c r="C77" s="11"/>
      <c r="D77" s="6">
        <v>300</v>
      </c>
      <c r="E77" s="2"/>
      <c r="F77" s="7">
        <f t="shared" si="52"/>
        <v>4.5010307360385526E-2</v>
      </c>
      <c r="G77" s="2"/>
      <c r="H77" s="6">
        <v>2000</v>
      </c>
      <c r="I77" s="2"/>
      <c r="J77" s="7">
        <f t="shared" si="53"/>
        <v>0.15982100047946299</v>
      </c>
      <c r="K77" s="2"/>
      <c r="L77" s="6">
        <f t="shared" si="54"/>
        <v>-1700</v>
      </c>
      <c r="M77" s="2"/>
      <c r="N77" s="7">
        <f t="shared" si="55"/>
        <v>-0.85</v>
      </c>
      <c r="O77" s="11"/>
      <c r="P77" s="6">
        <v>300</v>
      </c>
      <c r="Q77" s="2"/>
      <c r="R77" s="7">
        <f t="shared" si="56"/>
        <v>4.5010307360385526E-2</v>
      </c>
      <c r="S77" s="2"/>
      <c r="T77" s="6">
        <v>2000</v>
      </c>
      <c r="U77" s="2"/>
      <c r="V77" s="7">
        <f t="shared" si="57"/>
        <v>0.15982100047946299</v>
      </c>
      <c r="W77" s="2"/>
      <c r="X77" s="6">
        <f t="shared" si="58"/>
        <v>-1700</v>
      </c>
      <c r="Y77" s="2"/>
      <c r="Z77" s="7">
        <f t="shared" si="59"/>
        <v>-0.85</v>
      </c>
    </row>
    <row r="78" spans="1:26" s="28" customFormat="1" outlineLevel="1" collapsed="1" x14ac:dyDescent="0.3">
      <c r="A78" s="29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SUM(OSRRefD22_14x_0)</f>
        <v>151.19999999999999</v>
      </c>
      <c r="E78" s="1"/>
      <c r="F78" s="5">
        <f t="shared" ref="F78:F80" si="60">IF(D$12=0,0,D78/D$12)</f>
        <v>2.2685194909634304E-2</v>
      </c>
      <c r="G78" s="1"/>
      <c r="H78" s="1">
        <f>SUM(OSRRefH22_14x_0)</f>
        <v>178</v>
      </c>
      <c r="I78" s="1"/>
      <c r="J78" s="5">
        <f t="shared" ref="J78:J80" si="61">IF(H$12=0,0,H78/H$12)</f>
        <v>1.4224069042672207E-2</v>
      </c>
      <c r="K78" s="1"/>
      <c r="L78" s="1">
        <f t="shared" ref="L78:L80" si="62">+D78-H78</f>
        <v>-26.800000000000011</v>
      </c>
      <c r="M78" s="1"/>
      <c r="N78" s="5">
        <f t="shared" ref="N78:N80" si="63">IF(H78=0,0,L78/H78)</f>
        <v>-0.15056179775280906</v>
      </c>
      <c r="O78" s="14"/>
      <c r="P78" s="1">
        <f>SUM(OSRRefP22_14x_0)</f>
        <v>270</v>
      </c>
      <c r="Q78" s="1"/>
      <c r="R78" s="5">
        <f t="shared" ref="R78:R80" si="64">IF(P$12=0,0,P78/P$12)</f>
        <v>4.0509276624346974E-2</v>
      </c>
      <c r="S78" s="1"/>
      <c r="T78" s="1">
        <f>SUM(OSRRefT22_14x_0)</f>
        <v>356</v>
      </c>
      <c r="U78" s="1"/>
      <c r="V78" s="5">
        <f t="shared" ref="V78:V80" si="65">IF(T$12=0,0,T78/T$12)</f>
        <v>2.8448138085344413E-2</v>
      </c>
      <c r="W78" s="1"/>
      <c r="X78" s="1">
        <f t="shared" ref="X78:X80" si="66">+P78-T78</f>
        <v>-86</v>
      </c>
      <c r="Y78" s="1"/>
      <c r="Z78" s="5">
        <f t="shared" ref="Z78:Z80" si="67">IF(T78=0,0,X78/T78)</f>
        <v>-0.24157303370786518</v>
      </c>
    </row>
    <row r="79" spans="1:26" s="24" customFormat="1" hidden="1" outlineLevel="2" x14ac:dyDescent="0.3">
      <c r="A79" s="27"/>
      <c r="B79" s="11" t="str">
        <f>CONCATENATE("          ", "6303", " - ", "DATA PHONE LINES")</f>
        <v xml:space="preserve">          6303 - DATA PHONE LINES</v>
      </c>
      <c r="C79" s="11"/>
      <c r="D79" s="6"/>
      <c r="E79" s="2"/>
      <c r="F79" s="7">
        <f t="shared" si="60"/>
        <v>0</v>
      </c>
      <c r="G79" s="2"/>
      <c r="H79" s="6">
        <v>50</v>
      </c>
      <c r="I79" s="2"/>
      <c r="J79" s="7">
        <f t="shared" si="61"/>
        <v>3.9955250119865747E-3</v>
      </c>
      <c r="K79" s="2"/>
      <c r="L79" s="6">
        <f t="shared" si="62"/>
        <v>-50</v>
      </c>
      <c r="M79" s="2"/>
      <c r="N79" s="7">
        <f t="shared" si="63"/>
        <v>-1</v>
      </c>
      <c r="O79" s="11"/>
      <c r="P79" s="6"/>
      <c r="Q79" s="2"/>
      <c r="R79" s="7">
        <f t="shared" si="64"/>
        <v>0</v>
      </c>
      <c r="S79" s="2"/>
      <c r="T79" s="6">
        <v>100</v>
      </c>
      <c r="U79" s="2"/>
      <c r="V79" s="7">
        <f t="shared" si="65"/>
        <v>7.9910500239731494E-3</v>
      </c>
      <c r="W79" s="2"/>
      <c r="X79" s="6">
        <f t="shared" si="66"/>
        <v>-100</v>
      </c>
      <c r="Y79" s="2"/>
      <c r="Z79" s="7">
        <f t="shared" si="67"/>
        <v>-1</v>
      </c>
    </row>
    <row r="80" spans="1:26" s="24" customFormat="1" hidden="1" outlineLevel="2" x14ac:dyDescent="0.3">
      <c r="A80" s="27"/>
      <c r="B80" s="11" t="str">
        <f>CONCATENATE("          ", "6309", " - ", "TELEPHONE")</f>
        <v xml:space="preserve">          6309 - TELEPHONE</v>
      </c>
      <c r="C80" s="11"/>
      <c r="D80" s="6">
        <v>151.19999999999999</v>
      </c>
      <c r="E80" s="2"/>
      <c r="F80" s="7">
        <f t="shared" si="60"/>
        <v>2.2685194909634304E-2</v>
      </c>
      <c r="G80" s="2"/>
      <c r="H80" s="6">
        <v>128</v>
      </c>
      <c r="I80" s="2"/>
      <c r="J80" s="7">
        <f t="shared" si="61"/>
        <v>1.0228544030685632E-2</v>
      </c>
      <c r="K80" s="2"/>
      <c r="L80" s="6">
        <f t="shared" si="62"/>
        <v>23.199999999999989</v>
      </c>
      <c r="M80" s="2"/>
      <c r="N80" s="7">
        <f t="shared" si="63"/>
        <v>0.18124999999999991</v>
      </c>
      <c r="O80" s="11"/>
      <c r="P80" s="6">
        <v>270</v>
      </c>
      <c r="Q80" s="2"/>
      <c r="R80" s="7">
        <f t="shared" si="64"/>
        <v>4.0509276624346974E-2</v>
      </c>
      <c r="S80" s="2"/>
      <c r="T80" s="6">
        <v>256</v>
      </c>
      <c r="U80" s="2"/>
      <c r="V80" s="7">
        <f t="shared" si="65"/>
        <v>2.0457088061371264E-2</v>
      </c>
      <c r="W80" s="2"/>
      <c r="X80" s="6">
        <f t="shared" si="66"/>
        <v>14</v>
      </c>
      <c r="Y80" s="2"/>
      <c r="Z80" s="7">
        <f t="shared" si="67"/>
        <v>5.46875E-2</v>
      </c>
    </row>
    <row r="81" spans="1:26" s="28" customFormat="1" outlineLevel="1" collapsed="1" x14ac:dyDescent="0.3">
      <c r="A81" s="29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SUM(OSRRefD22_15x_0)</f>
        <v>0</v>
      </c>
      <c r="E81" s="1"/>
      <c r="F81" s="5">
        <f t="shared" ref="F81:F84" si="68">IF(D$12=0,0,D81/D$12)</f>
        <v>0</v>
      </c>
      <c r="G81" s="1"/>
      <c r="H81" s="1">
        <f>SUM(OSRRefH22_15x_0)</f>
        <v>75</v>
      </c>
      <c r="I81" s="1"/>
      <c r="J81" s="5">
        <f t="shared" ref="J81:J84" si="69">IF(H$12=0,0,H81/H$12)</f>
        <v>5.9932875179798629E-3</v>
      </c>
      <c r="K81" s="1"/>
      <c r="L81" s="1">
        <f t="shared" ref="L81:L84" si="70">+D81-H81</f>
        <v>-75</v>
      </c>
      <c r="M81" s="1"/>
      <c r="N81" s="5">
        <f t="shared" ref="N81:N84" si="71">IF(H81=0,0,L81/H81)</f>
        <v>-1</v>
      </c>
      <c r="O81" s="14"/>
      <c r="P81" s="1">
        <f>SUM(OSRRefP22_15x_0)</f>
        <v>0</v>
      </c>
      <c r="Q81" s="1"/>
      <c r="R81" s="5">
        <f t="shared" ref="R81:R84" si="72">IF(P$12=0,0,P81/P$12)</f>
        <v>0</v>
      </c>
      <c r="S81" s="1"/>
      <c r="T81" s="1">
        <f>SUM(OSRRefT22_15x_0)</f>
        <v>75</v>
      </c>
      <c r="U81" s="1"/>
      <c r="V81" s="5">
        <f t="shared" ref="V81:V84" si="73">IF(T$12=0,0,T81/T$12)</f>
        <v>5.9932875179798629E-3</v>
      </c>
      <c r="W81" s="1"/>
      <c r="X81" s="1">
        <f t="shared" ref="X81:X84" si="74">+P81-T81</f>
        <v>-75</v>
      </c>
      <c r="Y81" s="1"/>
      <c r="Z81" s="5">
        <f t="shared" ref="Z81:Z84" si="75">IF(T81=0,0,X81/T81)</f>
        <v>-1</v>
      </c>
    </row>
    <row r="82" spans="1:26" s="24" customFormat="1" hidden="1" outlineLevel="2" x14ac:dyDescent="0.3">
      <c r="A82" s="27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68"/>
        <v>0</v>
      </c>
      <c r="G82" s="2"/>
      <c r="H82" s="6">
        <v>75</v>
      </c>
      <c r="I82" s="2"/>
      <c r="J82" s="7">
        <f t="shared" si="69"/>
        <v>5.9932875179798629E-3</v>
      </c>
      <c r="K82" s="2"/>
      <c r="L82" s="6">
        <f t="shared" si="70"/>
        <v>-75</v>
      </c>
      <c r="M82" s="2"/>
      <c r="N82" s="7">
        <f t="shared" si="71"/>
        <v>-1</v>
      </c>
      <c r="O82" s="11"/>
      <c r="P82" s="6"/>
      <c r="Q82" s="2"/>
      <c r="R82" s="7">
        <f t="shared" si="72"/>
        <v>0</v>
      </c>
      <c r="S82" s="2"/>
      <c r="T82" s="6">
        <v>75</v>
      </c>
      <c r="U82" s="2"/>
      <c r="V82" s="7">
        <f t="shared" si="73"/>
        <v>5.9932875179798629E-3</v>
      </c>
      <c r="W82" s="2"/>
      <c r="X82" s="6">
        <f t="shared" si="74"/>
        <v>-75</v>
      </c>
      <c r="Y82" s="2"/>
      <c r="Z82" s="7">
        <f t="shared" si="75"/>
        <v>-1</v>
      </c>
    </row>
    <row r="83" spans="1:26" s="28" customFormat="1" outlineLevel="1" collapsed="1" x14ac:dyDescent="0.3">
      <c r="A83" s="29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SUM(OSRRefD22_16x_0)</f>
        <v>100</v>
      </c>
      <c r="E83" s="1"/>
      <c r="F83" s="5">
        <f t="shared" si="68"/>
        <v>1.5003435786795175E-2</v>
      </c>
      <c r="G83" s="1"/>
      <c r="H83" s="1">
        <f>SUM(OSRRefH22_16x_0)</f>
        <v>0</v>
      </c>
      <c r="I83" s="1"/>
      <c r="J83" s="5">
        <f t="shared" si="69"/>
        <v>0</v>
      </c>
      <c r="K83" s="1"/>
      <c r="L83" s="1">
        <f t="shared" si="70"/>
        <v>100</v>
      </c>
      <c r="M83" s="1"/>
      <c r="N83" s="5">
        <f t="shared" si="71"/>
        <v>0</v>
      </c>
      <c r="O83" s="14"/>
      <c r="P83" s="1">
        <f>SUM(OSRRefP22_16x_0)</f>
        <v>200</v>
      </c>
      <c r="Q83" s="1"/>
      <c r="R83" s="5">
        <f t="shared" si="72"/>
        <v>3.000687157359035E-2</v>
      </c>
      <c r="S83" s="1"/>
      <c r="T83" s="1">
        <f>SUM(OSRRefT22_16x_0)</f>
        <v>0</v>
      </c>
      <c r="U83" s="1"/>
      <c r="V83" s="5">
        <f t="shared" si="73"/>
        <v>0</v>
      </c>
      <c r="W83" s="1"/>
      <c r="X83" s="1">
        <f t="shared" si="74"/>
        <v>200</v>
      </c>
      <c r="Y83" s="1"/>
      <c r="Z83" s="5">
        <f t="shared" si="75"/>
        <v>0</v>
      </c>
    </row>
    <row r="84" spans="1:26" s="24" customFormat="1" hidden="1" outlineLevel="2" x14ac:dyDescent="0.3">
      <c r="A84" s="27"/>
      <c r="B84" s="11" t="str">
        <f>CONCATENATE("          ", "6274", " - ", "UTILITIES")</f>
        <v xml:space="preserve">          6274 - UTILITIES</v>
      </c>
      <c r="C84" s="11"/>
      <c r="D84" s="6">
        <v>100</v>
      </c>
      <c r="E84" s="2"/>
      <c r="F84" s="7">
        <f t="shared" si="68"/>
        <v>1.5003435786795175E-2</v>
      </c>
      <c r="G84" s="2"/>
      <c r="H84" s="6">
        <v>0</v>
      </c>
      <c r="I84" s="2"/>
      <c r="J84" s="7">
        <f t="shared" si="69"/>
        <v>0</v>
      </c>
      <c r="K84" s="2"/>
      <c r="L84" s="6">
        <f t="shared" si="70"/>
        <v>100</v>
      </c>
      <c r="M84" s="2"/>
      <c r="N84" s="7">
        <f t="shared" si="71"/>
        <v>0</v>
      </c>
      <c r="O84" s="11"/>
      <c r="P84" s="6">
        <v>200</v>
      </c>
      <c r="Q84" s="2"/>
      <c r="R84" s="7">
        <f t="shared" si="72"/>
        <v>3.000687157359035E-2</v>
      </c>
      <c r="S84" s="2"/>
      <c r="T84" s="6">
        <v>0</v>
      </c>
      <c r="U84" s="2"/>
      <c r="V84" s="7">
        <f t="shared" si="73"/>
        <v>0</v>
      </c>
      <c r="W84" s="2"/>
      <c r="X84" s="6">
        <f t="shared" si="74"/>
        <v>200</v>
      </c>
      <c r="Y84" s="2"/>
      <c r="Z84" s="7">
        <f t="shared" si="75"/>
        <v>0</v>
      </c>
    </row>
    <row r="85" spans="1:26" s="53" customFormat="1" x14ac:dyDescent="0.3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3">
      <c r="A86" s="10"/>
      <c r="B86" s="25" t="s">
        <v>293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10"/>
      <c r="B88" s="26" t="s">
        <v>277</v>
      </c>
      <c r="C88" s="26"/>
      <c r="D88" s="21">
        <f>+D22-D24+D86</f>
        <v>-24662.84</v>
      </c>
      <c r="E88" s="13"/>
      <c r="F88" s="20">
        <f>IF(D$12=0,0,D88/D$12)</f>
        <v>-3.700273362600035</v>
      </c>
      <c r="G88" s="13"/>
      <c r="H88" s="21">
        <f>+H22-H24+H86</f>
        <v>-26652.680587307696</v>
      </c>
      <c r="I88" s="13"/>
      <c r="J88" s="20">
        <f>IF(H$12=0,0,H88/H$12)</f>
        <v>-2.1298290384615388</v>
      </c>
      <c r="K88" s="16"/>
      <c r="L88" s="21">
        <f>+D88-H88</f>
        <v>1989.8405873076954</v>
      </c>
      <c r="M88" s="16"/>
      <c r="N88" s="20">
        <f>IF(H88=0,0,L88/H88)</f>
        <v>-7.4658178594436755E-2</v>
      </c>
      <c r="O88" s="25"/>
      <c r="P88" s="21">
        <f>+P22-P24+P86</f>
        <v>-36592.74</v>
      </c>
      <c r="Q88" s="13"/>
      <c r="R88" s="20">
        <f>IF(P$12=0,0,P88/P$12)</f>
        <v>-5.4901682485289127</v>
      </c>
      <c r="S88" s="13"/>
      <c r="T88" s="21">
        <f>+T22-T24+T86</f>
        <v>-48769.929102692302</v>
      </c>
      <c r="U88" s="13"/>
      <c r="V88" s="20">
        <f>IF(T$12=0,0,T88/T$12)</f>
        <v>-3.8972294312523816</v>
      </c>
      <c r="W88" s="16"/>
      <c r="X88" s="21">
        <f>+P88-T88</f>
        <v>12177.189102692304</v>
      </c>
      <c r="Y88" s="16"/>
      <c r="Z88" s="20">
        <f>IF(T88=0,0,X88/T88)</f>
        <v>-0.24968642207888864</v>
      </c>
    </row>
    <row r="89" spans="1:26" x14ac:dyDescent="0.3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">
      <c r="A90" s="52"/>
      <c r="B90" s="10" t="s">
        <v>128</v>
      </c>
      <c r="C90" s="10"/>
      <c r="D90" s="4">
        <v>995.99</v>
      </c>
      <c r="E90" s="4"/>
      <c r="F90" s="12">
        <f>IF(D$12=0,0,D90/D$12)</f>
        <v>0.14943272009290126</v>
      </c>
      <c r="G90" s="4"/>
      <c r="H90" s="4">
        <v>1401</v>
      </c>
      <c r="I90" s="4"/>
      <c r="J90" s="12">
        <f>IF(H$12=0,0,H90/H$12)</f>
        <v>0.11195461083586383</v>
      </c>
      <c r="K90" s="4"/>
      <c r="L90" s="4">
        <f>+D90-H90</f>
        <v>-405.01</v>
      </c>
      <c r="M90" s="4"/>
      <c r="N90" s="12">
        <f>IF(H90=0,0,L90/H90)</f>
        <v>-0.28908636688079942</v>
      </c>
      <c r="O90" s="10"/>
      <c r="P90" s="4">
        <v>995.99</v>
      </c>
      <c r="Q90" s="4"/>
      <c r="R90" s="12">
        <f>IF(P$12=0,0,P90/P$12)</f>
        <v>0.14943272009290126</v>
      </c>
      <c r="S90" s="4"/>
      <c r="T90" s="4">
        <v>1401</v>
      </c>
      <c r="U90" s="4"/>
      <c r="V90" s="12">
        <f>IF(T$12=0,0,T90/T$12)</f>
        <v>0.11195461083586383</v>
      </c>
      <c r="W90" s="4"/>
      <c r="X90" s="4">
        <f>+P90-T90</f>
        <v>-405.01</v>
      </c>
      <c r="Y90" s="4"/>
      <c r="Z90" s="12">
        <f>IF(T90=0,0,X90/T90)</f>
        <v>-0.28908636688079942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" thickBot="1" x14ac:dyDescent="0.35">
      <c r="A92" s="10"/>
      <c r="B92" s="26" t="s">
        <v>126</v>
      </c>
      <c r="C92" s="26"/>
      <c r="D92" s="30">
        <f>+D88-D90</f>
        <v>-25658.83</v>
      </c>
      <c r="E92" s="13"/>
      <c r="F92" s="35">
        <f>IF(D$12=0,0,D92/D$12)</f>
        <v>-3.8497060826929368</v>
      </c>
      <c r="G92" s="13"/>
      <c r="H92" s="30">
        <f>+H88-H90</f>
        <v>-28053.680587307696</v>
      </c>
      <c r="I92" s="13"/>
      <c r="J92" s="35">
        <f>IF(H$12=0,0,H92/H$12)</f>
        <v>-2.2417836492974024</v>
      </c>
      <c r="K92" s="16"/>
      <c r="L92" s="30">
        <f>D92-H92</f>
        <v>2394.8505873076938</v>
      </c>
      <c r="M92" s="16"/>
      <c r="N92" s="35">
        <f>IF(H92=0,0,L92/H92)</f>
        <v>-8.5366716137460913E-2</v>
      </c>
      <c r="O92" s="25"/>
      <c r="P92" s="30">
        <f>+P88-P90</f>
        <v>-37588.729999999996</v>
      </c>
      <c r="Q92" s="13"/>
      <c r="R92" s="35">
        <f>IF(P$12=0,0,P92/P$12)</f>
        <v>-5.6396009686218136</v>
      </c>
      <c r="S92" s="13"/>
      <c r="T92" s="30">
        <f>+T88-T90</f>
        <v>-50170.929102692302</v>
      </c>
      <c r="U92" s="13"/>
      <c r="V92" s="35">
        <f>IF(T$12=0,0,T92/T$12)</f>
        <v>-4.0091840420882452</v>
      </c>
      <c r="W92" s="16"/>
      <c r="X92" s="30">
        <f>P92-T92</f>
        <v>12582.199102692306</v>
      </c>
      <c r="Y92" s="16"/>
      <c r="Z92" s="35">
        <f>IF(T92=0,0,X92/T92)</f>
        <v>-0.25078664732196704</v>
      </c>
    </row>
    <row r="93" spans="1:26" ht="15" thickTop="1" x14ac:dyDescent="0.3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6" t="s">
        <v>294</v>
      </c>
      <c r="C95" s="26"/>
      <c r="D95" s="32">
        <f>SUM(D92:D94)</f>
        <v>-25658.83</v>
      </c>
      <c r="E95" s="13"/>
      <c r="F95" s="34">
        <f>IF(D$12=0,0,D95/D$12)</f>
        <v>-3.8497060826929368</v>
      </c>
      <c r="G95" s="13"/>
      <c r="H95" s="32">
        <f>SUM(H92:H94)</f>
        <v>-28053.680587307696</v>
      </c>
      <c r="I95" s="13"/>
      <c r="J95" s="34">
        <f>IF(H$12=0,0,H95/H$12)</f>
        <v>-2.2417836492974024</v>
      </c>
      <c r="K95" s="16"/>
      <c r="L95" s="32">
        <f>+D95-H95</f>
        <v>2394.8505873076938</v>
      </c>
      <c r="M95" s="16"/>
      <c r="N95" s="34">
        <f>IF(H95=0,0,L95/H95)</f>
        <v>-8.5366716137460913E-2</v>
      </c>
      <c r="O95" s="25"/>
      <c r="P95" s="32">
        <f>SUM(P92:P94)</f>
        <v>-37588.729999999996</v>
      </c>
      <c r="Q95" s="13"/>
      <c r="R95" s="34">
        <f>IF(P$12=0,0,P95/P$12)</f>
        <v>-5.6396009686218136</v>
      </c>
      <c r="S95" s="13"/>
      <c r="T95" s="32">
        <f>SUM(T92:T94)</f>
        <v>-50170.929102692302</v>
      </c>
      <c r="U95" s="13"/>
      <c r="V95" s="34">
        <f>IF(T$12=0,0,T95/T$12)</f>
        <v>-4.0091840420882452</v>
      </c>
      <c r="W95" s="16"/>
      <c r="X95" s="32">
        <f>+P95-T95</f>
        <v>12582.199102692306</v>
      </c>
      <c r="Y95" s="16"/>
      <c r="Z95" s="34">
        <f>IF(T95=0,0,X95/T95)</f>
        <v>-0.25078664732196704</v>
      </c>
    </row>
    <row r="96" spans="1:26" ht="15" thickTop="1" x14ac:dyDescent="0.3">
      <c r="A96" s="9"/>
      <c r="C96" s="9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61">
        <v>44470.835441203701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A98" s="9"/>
      <c r="B98" s="58" t="s">
        <v>56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">
      <c r="A99" s="9"/>
      <c r="B99" s="55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3"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","309", " - ", "Carts")</f>
        <v>Department 309 - Carts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893.71</v>
      </c>
      <c r="E18" s="22"/>
      <c r="F18" s="31">
        <f t="shared" ref="F18:F23" si="0">IF(D$12=0,0,D18/D$12)</f>
        <v>0</v>
      </c>
      <c r="G18" s="22"/>
      <c r="H18" s="22">
        <f>SUM(OSRRefH22x_0)</f>
        <v>588</v>
      </c>
      <c r="I18" s="22"/>
      <c r="J18" s="31">
        <f t="shared" ref="J18:J23" si="1">IF(H$12=0,0,H18/H$12)</f>
        <v>0</v>
      </c>
      <c r="K18" s="4"/>
      <c r="L18" s="22">
        <f t="shared" ref="L18:L23" si="2">+D18-H18</f>
        <v>305.71000000000004</v>
      </c>
      <c r="M18" s="4"/>
      <c r="N18" s="31">
        <f t="shared" ref="N18:N23" si="3">IF(H18=0,0,L18/H18)</f>
        <v>0.51991496598639464</v>
      </c>
      <c r="O18" s="10"/>
      <c r="P18" s="22">
        <f>SUM(OSRRefP22x_0)</f>
        <v>1664.5000000000002</v>
      </c>
      <c r="Q18" s="22"/>
      <c r="R18" s="31">
        <f t="shared" ref="R18:R23" si="4">IF(P$12=0,0,P18/P$12)</f>
        <v>0</v>
      </c>
      <c r="S18" s="22"/>
      <c r="T18" s="22">
        <f>SUM(OSRRefT22x_0)</f>
        <v>1176</v>
      </c>
      <c r="U18" s="22"/>
      <c r="V18" s="31">
        <f t="shared" ref="V18:V23" si="5">IF(T$12=0,0,T18/T$12)</f>
        <v>0</v>
      </c>
      <c r="W18" s="4"/>
      <c r="X18" s="22">
        <f t="shared" ref="X18:X23" si="6">+P18-T18</f>
        <v>488.50000000000023</v>
      </c>
      <c r="Y18" s="4"/>
      <c r="Z18" s="31">
        <f t="shared" ref="Z18:Z23" si="7">IF(T18=0,0,X18/T18)</f>
        <v>0.41539115646258523</v>
      </c>
    </row>
    <row r="19" spans="1:26" s="28" customFormat="1" outlineLevel="1" collapsed="1" x14ac:dyDescent="0.3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588</v>
      </c>
      <c r="I19" s="1"/>
      <c r="J19" s="5">
        <f t="shared" si="1"/>
        <v>0</v>
      </c>
      <c r="K19" s="1"/>
      <c r="L19" s="1">
        <f t="shared" si="2"/>
        <v>0.94000000000005457</v>
      </c>
      <c r="M19" s="1"/>
      <c r="N19" s="5">
        <f t="shared" si="3"/>
        <v>1.5986394557824057E-3</v>
      </c>
      <c r="O19" s="14"/>
      <c r="P19" s="1">
        <f>SUM(OSRRefP22_0x_0)</f>
        <v>1177.8800000000001</v>
      </c>
      <c r="Q19" s="1"/>
      <c r="R19" s="5">
        <f t="shared" si="4"/>
        <v>0</v>
      </c>
      <c r="S19" s="1"/>
      <c r="T19" s="1">
        <f>SUM(OSRRefT22_0x_0)</f>
        <v>1176</v>
      </c>
      <c r="U19" s="1"/>
      <c r="V19" s="5">
        <f t="shared" si="5"/>
        <v>0</v>
      </c>
      <c r="W19" s="1"/>
      <c r="X19" s="1">
        <f t="shared" si="6"/>
        <v>1.8800000000001091</v>
      </c>
      <c r="Y19" s="1"/>
      <c r="Z19" s="5">
        <f t="shared" si="7"/>
        <v>1.5986394557824057E-3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588.94000000000005</v>
      </c>
      <c r="E20" s="2"/>
      <c r="F20" s="7">
        <f t="shared" si="0"/>
        <v>0</v>
      </c>
      <c r="G20" s="2"/>
      <c r="H20" s="6">
        <v>588</v>
      </c>
      <c r="I20" s="2"/>
      <c r="J20" s="7">
        <f t="shared" si="1"/>
        <v>0</v>
      </c>
      <c r="K20" s="2"/>
      <c r="L20" s="6">
        <f t="shared" si="2"/>
        <v>0.94000000000005457</v>
      </c>
      <c r="M20" s="2"/>
      <c r="N20" s="7">
        <f t="shared" si="3"/>
        <v>1.5986394557824057E-3</v>
      </c>
      <c r="O20" s="11"/>
      <c r="P20" s="6">
        <v>1177.8800000000001</v>
      </c>
      <c r="Q20" s="2"/>
      <c r="R20" s="7">
        <f t="shared" si="4"/>
        <v>0</v>
      </c>
      <c r="S20" s="2"/>
      <c r="T20" s="6">
        <v>1176</v>
      </c>
      <c r="U20" s="2"/>
      <c r="V20" s="7">
        <f t="shared" si="5"/>
        <v>0</v>
      </c>
      <c r="W20" s="2"/>
      <c r="X20" s="6">
        <f t="shared" si="6"/>
        <v>1.8800000000001091</v>
      </c>
      <c r="Y20" s="2"/>
      <c r="Z20" s="7">
        <f t="shared" si="7"/>
        <v>1.5986394557824057E-3</v>
      </c>
    </row>
    <row r="21" spans="1:26" s="28" customFormat="1" outlineLevel="1" collapsed="1" x14ac:dyDescent="0.3">
      <c r="A21" s="29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274.77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274.77</v>
      </c>
      <c r="M21" s="1"/>
      <c r="N21" s="5">
        <f t="shared" si="3"/>
        <v>0</v>
      </c>
      <c r="O21" s="14"/>
      <c r="P21" s="1">
        <f>SUM(OSRRefP22_1x_0)</f>
        <v>426.62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426.62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"6282", " - ", "JANITORIAL/EXTERMINATOR EXPENS")</f>
        <v xml:space="preserve">          6282 - JANITORIAL/EXTERMINATOR EXPENS</v>
      </c>
      <c r="C22" s="11"/>
      <c r="D22" s="6">
        <v>151.85</v>
      </c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151.85</v>
      </c>
      <c r="M22" s="2"/>
      <c r="N22" s="7">
        <f t="shared" si="3"/>
        <v>0</v>
      </c>
      <c r="O22" s="11"/>
      <c r="P22" s="6">
        <v>303.7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303.7</v>
      </c>
      <c r="Y22" s="2"/>
      <c r="Z22" s="7">
        <f t="shared" si="7"/>
        <v>0</v>
      </c>
    </row>
    <row r="23" spans="1:26" s="24" customFormat="1" hidden="1" outlineLevel="2" x14ac:dyDescent="0.3">
      <c r="A23" s="27"/>
      <c r="B23" s="11" t="str">
        <f>CONCATENATE("          ", "6285", " - ", "JANITORIAL SERVICES")</f>
        <v xml:space="preserve">          6285 - JANITORIAL SERVICES</v>
      </c>
      <c r="C23" s="11"/>
      <c r="D23" s="6">
        <v>122.92</v>
      </c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122.92</v>
      </c>
      <c r="M23" s="2"/>
      <c r="N23" s="7">
        <f t="shared" si="3"/>
        <v>0</v>
      </c>
      <c r="O23" s="11"/>
      <c r="P23" s="6">
        <v>122.92</v>
      </c>
      <c r="Q23" s="2"/>
      <c r="R23" s="7">
        <f t="shared" si="4"/>
        <v>0</v>
      </c>
      <c r="S23" s="2"/>
      <c r="T23" s="6"/>
      <c r="U23" s="2"/>
      <c r="V23" s="7">
        <f t="shared" si="5"/>
        <v>0</v>
      </c>
      <c r="W23" s="2"/>
      <c r="X23" s="6">
        <f t="shared" si="6"/>
        <v>122.92</v>
      </c>
      <c r="Y23" s="2"/>
      <c r="Z23" s="7">
        <f t="shared" si="7"/>
        <v>0</v>
      </c>
    </row>
    <row r="24" spans="1:26" s="28" customFormat="1" outlineLevel="1" collapsed="1" x14ac:dyDescent="0.3">
      <c r="A24" s="29"/>
      <c r="B24" s="14" t="str">
        <f>CONCATENATE("     ","Telephone/Data Lines                              ")</f>
        <v xml:space="preserve">     Telephone/Data Lines                              </v>
      </c>
      <c r="C24" s="14"/>
      <c r="D24" s="1">
        <f>SUM(OSRRefD22_2x_0)</f>
        <v>30</v>
      </c>
      <c r="E24" s="1"/>
      <c r="F24" s="5">
        <f t="shared" ref="F24:F25" si="8">IF(D$12=0,0,D24/D$12)</f>
        <v>0</v>
      </c>
      <c r="G24" s="1"/>
      <c r="H24" s="1">
        <f>SUM(OSRRefH22_2x_0)</f>
        <v>0</v>
      </c>
      <c r="I24" s="1"/>
      <c r="J24" s="5">
        <f t="shared" ref="J24:J25" si="9">IF(H$12=0,0,H24/H$12)</f>
        <v>0</v>
      </c>
      <c r="K24" s="1"/>
      <c r="L24" s="1">
        <f t="shared" ref="L24:L25" si="10">+D24-H24</f>
        <v>30</v>
      </c>
      <c r="M24" s="1"/>
      <c r="N24" s="5">
        <f t="shared" ref="N24:N25" si="11">IF(H24=0,0,L24/H24)</f>
        <v>0</v>
      </c>
      <c r="O24" s="14"/>
      <c r="P24" s="1">
        <f>SUM(OSRRefP22_2x_0)</f>
        <v>60</v>
      </c>
      <c r="Q24" s="1"/>
      <c r="R24" s="5">
        <f t="shared" ref="R24:R25" si="12">IF(P$12=0,0,P24/P$12)</f>
        <v>0</v>
      </c>
      <c r="S24" s="1"/>
      <c r="T24" s="1">
        <f>SUM(OSRRefT22_2x_0)</f>
        <v>0</v>
      </c>
      <c r="U24" s="1"/>
      <c r="V24" s="5">
        <f t="shared" ref="V24:V25" si="13">IF(T$12=0,0,T24/T$12)</f>
        <v>0</v>
      </c>
      <c r="W24" s="1"/>
      <c r="X24" s="1">
        <f t="shared" ref="X24:X25" si="14">+P24-T24</f>
        <v>60</v>
      </c>
      <c r="Y24" s="1"/>
      <c r="Z24" s="5">
        <f t="shared" ref="Z24:Z25" si="15">IF(T24=0,0,X24/T24)</f>
        <v>0</v>
      </c>
    </row>
    <row r="25" spans="1:26" s="24" customFormat="1" hidden="1" outlineLevel="2" x14ac:dyDescent="0.3">
      <c r="A25" s="27"/>
      <c r="B25" s="11" t="str">
        <f>CONCATENATE("          ", "6309", " - ", "TELEPHONE")</f>
        <v xml:space="preserve">          6309 - TELEPHONE</v>
      </c>
      <c r="C25" s="11"/>
      <c r="D25" s="6">
        <v>30</v>
      </c>
      <c r="E25" s="2"/>
      <c r="F25" s="7">
        <f t="shared" si="8"/>
        <v>0</v>
      </c>
      <c r="G25" s="2"/>
      <c r="H25" s="6"/>
      <c r="I25" s="2"/>
      <c r="J25" s="7">
        <f t="shared" si="9"/>
        <v>0</v>
      </c>
      <c r="K25" s="2"/>
      <c r="L25" s="6">
        <f t="shared" si="10"/>
        <v>30</v>
      </c>
      <c r="M25" s="2"/>
      <c r="N25" s="7">
        <f t="shared" si="11"/>
        <v>0</v>
      </c>
      <c r="O25" s="11"/>
      <c r="P25" s="6">
        <v>60</v>
      </c>
      <c r="Q25" s="2"/>
      <c r="R25" s="7">
        <f t="shared" si="12"/>
        <v>0</v>
      </c>
      <c r="S25" s="2"/>
      <c r="T25" s="6"/>
      <c r="U25" s="2"/>
      <c r="V25" s="7">
        <f t="shared" si="13"/>
        <v>0</v>
      </c>
      <c r="W25" s="2"/>
      <c r="X25" s="6">
        <f t="shared" si="14"/>
        <v>60</v>
      </c>
      <c r="Y25" s="2"/>
      <c r="Z25" s="7">
        <f t="shared" si="15"/>
        <v>0</v>
      </c>
    </row>
    <row r="26" spans="1:26" s="53" customFormat="1" x14ac:dyDescent="0.3">
      <c r="A26" s="36"/>
      <c r="B26" s="36"/>
      <c r="C26" s="36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293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10"/>
      <c r="B29" s="26" t="s">
        <v>277</v>
      </c>
      <c r="C29" s="26"/>
      <c r="D29" s="21">
        <f>+D16-D18+D27</f>
        <v>-893.71</v>
      </c>
      <c r="E29" s="13"/>
      <c r="F29" s="20">
        <f>IF(D$12=0,0,D29/D$12)</f>
        <v>0</v>
      </c>
      <c r="G29" s="13"/>
      <c r="H29" s="21">
        <f>+H16-H18+H27</f>
        <v>-588</v>
      </c>
      <c r="I29" s="13"/>
      <c r="J29" s="20">
        <f>IF(H$12=0,0,H29/H$12)</f>
        <v>0</v>
      </c>
      <c r="K29" s="16"/>
      <c r="L29" s="21">
        <f>+D29-H29</f>
        <v>-305.71000000000004</v>
      </c>
      <c r="M29" s="16"/>
      <c r="N29" s="20">
        <f>IF(H29=0,0,L29/H29)</f>
        <v>0.51991496598639464</v>
      </c>
      <c r="O29" s="25"/>
      <c r="P29" s="21">
        <f>+P16-P18+P27</f>
        <v>-1664.5000000000002</v>
      </c>
      <c r="Q29" s="13"/>
      <c r="R29" s="20">
        <f>IF(P$12=0,0,P29/P$12)</f>
        <v>0</v>
      </c>
      <c r="S29" s="13"/>
      <c r="T29" s="21">
        <f>+T16-T18+T27</f>
        <v>-1176</v>
      </c>
      <c r="U29" s="13"/>
      <c r="V29" s="20">
        <f>IF(T$12=0,0,T29/T$12)</f>
        <v>0</v>
      </c>
      <c r="W29" s="16"/>
      <c r="X29" s="21">
        <f>+P29-T29</f>
        <v>-488.50000000000023</v>
      </c>
      <c r="Y29" s="16"/>
      <c r="Z29" s="20">
        <f>IF(T29=0,0,X29/T29)</f>
        <v>0.41539115646258523</v>
      </c>
    </row>
    <row r="30" spans="1:26" x14ac:dyDescent="0.3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52"/>
      <c r="B31" s="10" t="s">
        <v>128</v>
      </c>
      <c r="C31" s="10"/>
      <c r="D31" s="4"/>
      <c r="E31" s="4"/>
      <c r="F31" s="12">
        <f>IF(D$12=0,0,D31/D$12)</f>
        <v>0</v>
      </c>
      <c r="G31" s="4"/>
      <c r="H31" s="4"/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/>
      <c r="Q31" s="4"/>
      <c r="R31" s="12">
        <f>IF(P$12=0,0,P31/P$12)</f>
        <v>0</v>
      </c>
      <c r="S31" s="4"/>
      <c r="T31" s="4"/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3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6" t="s">
        <v>126</v>
      </c>
      <c r="C33" s="26"/>
      <c r="D33" s="30">
        <f>+D29-D31</f>
        <v>-893.71</v>
      </c>
      <c r="E33" s="13"/>
      <c r="F33" s="35">
        <f>IF(D$12=0,0,D33/D$12)</f>
        <v>0</v>
      </c>
      <c r="G33" s="13"/>
      <c r="H33" s="30">
        <f>+H29-H31</f>
        <v>-588</v>
      </c>
      <c r="I33" s="13"/>
      <c r="J33" s="35">
        <f>IF(H$12=0,0,H33/H$12)</f>
        <v>0</v>
      </c>
      <c r="K33" s="16"/>
      <c r="L33" s="30">
        <f>D33-H33</f>
        <v>-305.71000000000004</v>
      </c>
      <c r="M33" s="16"/>
      <c r="N33" s="35">
        <f>IF(H33=0,0,L33/H33)</f>
        <v>0.51991496598639464</v>
      </c>
      <c r="O33" s="25"/>
      <c r="P33" s="30">
        <f>+P29-P31</f>
        <v>-1664.5000000000002</v>
      </c>
      <c r="Q33" s="13"/>
      <c r="R33" s="35">
        <f>IF(P$12=0,0,P33/P$12)</f>
        <v>0</v>
      </c>
      <c r="S33" s="13"/>
      <c r="T33" s="30">
        <f>+T29-T31</f>
        <v>-1176</v>
      </c>
      <c r="U33" s="13"/>
      <c r="V33" s="35">
        <f>IF(T$12=0,0,T33/T$12)</f>
        <v>0</v>
      </c>
      <c r="W33" s="16"/>
      <c r="X33" s="30">
        <f>P33-T33</f>
        <v>-488.50000000000023</v>
      </c>
      <c r="Y33" s="16"/>
      <c r="Z33" s="35">
        <f>IF(T33=0,0,X33/T33)</f>
        <v>0.41539115646258523</v>
      </c>
    </row>
    <row r="34" spans="1:26" ht="15" thickTop="1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>
        <f>SUM(D33:D35)</f>
        <v>-893.71</v>
      </c>
      <c r="E36" s="13"/>
      <c r="F36" s="34">
        <f>IF(D$12=0,0,D36/D$12)</f>
        <v>0</v>
      </c>
      <c r="G36" s="13"/>
      <c r="H36" s="32">
        <f>SUM(H33:H35)</f>
        <v>-588</v>
      </c>
      <c r="I36" s="13"/>
      <c r="J36" s="34">
        <f>IF(H$12=0,0,H36/H$12)</f>
        <v>0</v>
      </c>
      <c r="K36" s="16"/>
      <c r="L36" s="32">
        <f>+D36-H36</f>
        <v>-305.71000000000004</v>
      </c>
      <c r="M36" s="16"/>
      <c r="N36" s="34">
        <f>IF(H36=0,0,L36/H36)</f>
        <v>0.51991496598639464</v>
      </c>
      <c r="O36" s="25"/>
      <c r="P36" s="32">
        <f>SUM(P33:P35)</f>
        <v>-1664.5000000000002</v>
      </c>
      <c r="Q36" s="13"/>
      <c r="R36" s="34">
        <f>IF(P$12=0,0,P36/P$12)</f>
        <v>0</v>
      </c>
      <c r="S36" s="13"/>
      <c r="T36" s="32">
        <f>SUM(T33:T35)</f>
        <v>-1176</v>
      </c>
      <c r="U36" s="13"/>
      <c r="V36" s="34">
        <f>IF(T$12=0,0,T36/T$12)</f>
        <v>0</v>
      </c>
      <c r="W36" s="16"/>
      <c r="X36" s="32">
        <f>+P36-T36</f>
        <v>-488.50000000000023</v>
      </c>
      <c r="Y36" s="16"/>
      <c r="Z36" s="34">
        <f>IF(T36=0,0,X36/T36)</f>
        <v>0.41539115646258523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>
        <v>44470.835499687499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s">
        <v>56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","313", " - ", "Convenience Store")</f>
        <v>Department 313 - Convenience 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47.7</v>
      </c>
      <c r="E18" s="22"/>
      <c r="F18" s="31">
        <f t="shared" ref="F18:F22" si="0">IF(D$12=0,0,D18/D$12)</f>
        <v>0</v>
      </c>
      <c r="G18" s="22"/>
      <c r="H18" s="22">
        <f>SUM(OSRRefH22x_0)</f>
        <v>0</v>
      </c>
      <c r="I18" s="22"/>
      <c r="J18" s="31">
        <f t="shared" ref="J18:J22" si="1">IF(H$12=0,0,H18/H$12)</f>
        <v>0</v>
      </c>
      <c r="K18" s="4"/>
      <c r="L18" s="22">
        <f t="shared" ref="L18:L22" si="2">+D18-H18</f>
        <v>47.7</v>
      </c>
      <c r="M18" s="4"/>
      <c r="N18" s="31">
        <f t="shared" ref="N18:N22" si="3">IF(H18=0,0,L18/H18)</f>
        <v>0</v>
      </c>
      <c r="O18" s="10"/>
      <c r="P18" s="22">
        <f>SUM(OSRRefP22x_0)</f>
        <v>0</v>
      </c>
      <c r="Q18" s="22"/>
      <c r="R18" s="31">
        <f t="shared" ref="R18:R22" si="4">IF(P$12=0,0,P18/P$12)</f>
        <v>0</v>
      </c>
      <c r="S18" s="22"/>
      <c r="T18" s="22">
        <f>SUM(OSRRefT22x_0)</f>
        <v>0</v>
      </c>
      <c r="U18" s="22"/>
      <c r="V18" s="31">
        <f t="shared" ref="V18:V22" si="5">IF(T$12=0,0,T18/T$12)</f>
        <v>0</v>
      </c>
      <c r="W18" s="4"/>
      <c r="X18" s="22">
        <f t="shared" ref="X18:X22" si="6">+P18-T18</f>
        <v>0</v>
      </c>
      <c r="Y18" s="4"/>
      <c r="Z18" s="31">
        <f t="shared" ref="Z18:Z22" si="7">IF(T18=0,0,X18/T18)</f>
        <v>0</v>
      </c>
    </row>
    <row r="19" spans="1:26" s="28" customFormat="1" outlineLevel="1" collapsed="1" x14ac:dyDescent="0.3">
      <c r="A19" s="29"/>
      <c r="B19" s="14" t="str">
        <f>CONCATENATE("     ","Supplies                                          ")</f>
        <v xml:space="preserve">     Supplies 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"6247", " - ", "STORE SUPPLIES")</f>
        <v xml:space="preserve">          6247 - STORE SUPPLIES</v>
      </c>
      <c r="C20" s="11"/>
      <c r="D20" s="6">
        <v>0</v>
      </c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0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0</v>
      </c>
      <c r="Y20" s="2"/>
      <c r="Z20" s="7">
        <f t="shared" si="7"/>
        <v>0</v>
      </c>
    </row>
    <row r="21" spans="1:26" s="28" customFormat="1" outlineLevel="1" collapsed="1" x14ac:dyDescent="0.3">
      <c r="A21" s="29"/>
      <c r="B21" s="14" t="str">
        <f>CONCATENATE("     ","Telephone/Data Lines                              ")</f>
        <v xml:space="preserve">     Telephone/Data Lines                              </v>
      </c>
      <c r="C21" s="14"/>
      <c r="D21" s="1">
        <f>SUM(OSRRefD22_1x_0)</f>
        <v>47.7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47.7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"6309", " - ", "TELEPHONE")</f>
        <v xml:space="preserve">          6309 - TELEPHONE</v>
      </c>
      <c r="C22" s="11"/>
      <c r="D22" s="6">
        <v>47.7</v>
      </c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47.7</v>
      </c>
      <c r="M22" s="2"/>
      <c r="N22" s="7">
        <f t="shared" si="3"/>
        <v>0</v>
      </c>
      <c r="O22" s="11"/>
      <c r="P22" s="6">
        <v>0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10"/>
      <c r="B26" s="26" t="s">
        <v>277</v>
      </c>
      <c r="C26" s="26"/>
      <c r="D26" s="21">
        <f>+D16-D18+D24</f>
        <v>-47.7</v>
      </c>
      <c r="E26" s="13"/>
      <c r="F26" s="20">
        <f>IF(D$12=0,0,D26/D$12)</f>
        <v>0</v>
      </c>
      <c r="G26" s="13"/>
      <c r="H26" s="21">
        <f>+H16-H18+H24</f>
        <v>0</v>
      </c>
      <c r="I26" s="13"/>
      <c r="J26" s="20">
        <f>IF(H$12=0,0,H26/H$12)</f>
        <v>0</v>
      </c>
      <c r="K26" s="16"/>
      <c r="L26" s="21">
        <f>+D26-H26</f>
        <v>-47.7</v>
      </c>
      <c r="M26" s="16"/>
      <c r="N26" s="20">
        <f>IF(H26=0,0,L26/H26)</f>
        <v>0</v>
      </c>
      <c r="O26" s="25"/>
      <c r="P26" s="21">
        <f>+P16-P18+P24</f>
        <v>0</v>
      </c>
      <c r="Q26" s="13"/>
      <c r="R26" s="20">
        <f>IF(P$12=0,0,P26/P$12)</f>
        <v>0</v>
      </c>
      <c r="S26" s="13"/>
      <c r="T26" s="21">
        <f>+T16-T18+T24</f>
        <v>0</v>
      </c>
      <c r="U26" s="13"/>
      <c r="V26" s="20">
        <f>IF(T$12=0,0,T26/T$12)</f>
        <v>0</v>
      </c>
      <c r="W26" s="16"/>
      <c r="X26" s="21">
        <f>+P26-T26</f>
        <v>0</v>
      </c>
      <c r="Y26" s="16"/>
      <c r="Z26" s="20">
        <f>IF(T26=0,0,X26/T26)</f>
        <v>0</v>
      </c>
    </row>
    <row r="27" spans="1:26" x14ac:dyDescent="0.3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" thickBot="1" x14ac:dyDescent="0.35">
      <c r="A30" s="10"/>
      <c r="B30" s="26" t="s">
        <v>126</v>
      </c>
      <c r="C30" s="26"/>
      <c r="D30" s="30">
        <f>+D26-D28</f>
        <v>-47.7</v>
      </c>
      <c r="E30" s="13"/>
      <c r="F30" s="35">
        <f>IF(D$12=0,0,D30/D$12)</f>
        <v>0</v>
      </c>
      <c r="G30" s="13"/>
      <c r="H30" s="30">
        <f>+H26-H28</f>
        <v>0</v>
      </c>
      <c r="I30" s="13"/>
      <c r="J30" s="35">
        <f>IF(H$12=0,0,H30/H$12)</f>
        <v>0</v>
      </c>
      <c r="K30" s="16"/>
      <c r="L30" s="30">
        <f>D30-H30</f>
        <v>-47.7</v>
      </c>
      <c r="M30" s="16"/>
      <c r="N30" s="35">
        <f>IF(H30=0,0,L30/H30)</f>
        <v>0</v>
      </c>
      <c r="O30" s="25"/>
      <c r="P30" s="30">
        <f>+P26-P28</f>
        <v>0</v>
      </c>
      <c r="Q30" s="13"/>
      <c r="R30" s="35">
        <f>IF(P$12=0,0,P30/P$12)</f>
        <v>0</v>
      </c>
      <c r="S30" s="13"/>
      <c r="T30" s="30">
        <f>+T26-T28</f>
        <v>0</v>
      </c>
      <c r="U30" s="13"/>
      <c r="V30" s="35">
        <f>IF(T$12=0,0,T30/T$12)</f>
        <v>0</v>
      </c>
      <c r="W30" s="16"/>
      <c r="X30" s="30">
        <f>P30-T30</f>
        <v>0</v>
      </c>
      <c r="Y30" s="16"/>
      <c r="Z30" s="35">
        <f>IF(T30=0,0,X30/T30)</f>
        <v>0</v>
      </c>
    </row>
    <row r="31" spans="1:26" ht="15" thickTop="1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6" t="s">
        <v>294</v>
      </c>
      <c r="C33" s="26"/>
      <c r="D33" s="32">
        <f>SUM(D30:D32)</f>
        <v>-47.7</v>
      </c>
      <c r="E33" s="13"/>
      <c r="F33" s="34">
        <f>IF(D$12=0,0,D33/D$12)</f>
        <v>0</v>
      </c>
      <c r="G33" s="13"/>
      <c r="H33" s="32">
        <f>SUM(H30:H32)</f>
        <v>0</v>
      </c>
      <c r="I33" s="13"/>
      <c r="J33" s="34">
        <f>IF(H$12=0,0,H33/H$12)</f>
        <v>0</v>
      </c>
      <c r="K33" s="16"/>
      <c r="L33" s="32">
        <f>+D33-H33</f>
        <v>-47.7</v>
      </c>
      <c r="M33" s="16"/>
      <c r="N33" s="34">
        <f>IF(H33=0,0,L33/H33)</f>
        <v>0</v>
      </c>
      <c r="O33" s="25"/>
      <c r="P33" s="32">
        <f>SUM(P30:P32)</f>
        <v>0</v>
      </c>
      <c r="Q33" s="13"/>
      <c r="R33" s="34">
        <f>IF(P$12=0,0,P33/P$12)</f>
        <v>0</v>
      </c>
      <c r="S33" s="13"/>
      <c r="T33" s="32">
        <f>SUM(T30:T32)</f>
        <v>0</v>
      </c>
      <c r="U33" s="13"/>
      <c r="V33" s="34">
        <f>IF(T$12=0,0,T33/T$12)</f>
        <v>0</v>
      </c>
      <c r="W33" s="16"/>
      <c r="X33" s="32">
        <f>+P33-T33</f>
        <v>0</v>
      </c>
      <c r="Y33" s="16"/>
      <c r="Z33" s="34">
        <f>IF(T33=0,0,X33/T33)</f>
        <v>0</v>
      </c>
    </row>
    <row r="34" spans="1:26" ht="15" thickTop="1" x14ac:dyDescent="0.3">
      <c r="A34" s="9"/>
      <c r="C34" s="9"/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6" x14ac:dyDescent="0.3">
      <c r="A35" s="9"/>
      <c r="B35" s="61">
        <v>44470.835499687499</v>
      </c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6" x14ac:dyDescent="0.3">
      <c r="A36" s="9"/>
      <c r="B36" s="58" t="s">
        <v>56</v>
      </c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55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","321", " - ", "Corner Market")</f>
        <v>Department 321 - Corner Market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4495</v>
      </c>
      <c r="I12" s="4"/>
      <c r="J12" s="12"/>
      <c r="K12" s="4"/>
      <c r="L12" s="4">
        <f t="shared" ref="L12:L14" si="0">+D12-H12</f>
        <v>-4495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4495</v>
      </c>
      <c r="U12" s="4"/>
      <c r="V12" s="12"/>
      <c r="W12" s="4"/>
      <c r="X12" s="4">
        <f t="shared" ref="X12:X14" si="2">+P12-T12</f>
        <v>-4495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1044</v>
      </c>
      <c r="I13" s="2"/>
      <c r="J13" s="19"/>
      <c r="K13" s="2"/>
      <c r="L13" s="2">
        <f t="shared" si="0"/>
        <v>-1044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1044</v>
      </c>
      <c r="U13" s="2"/>
      <c r="V13" s="19"/>
      <c r="W13" s="2"/>
      <c r="X13" s="2">
        <f t="shared" si="2"/>
        <v>-1044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3451</v>
      </c>
      <c r="I14" s="2"/>
      <c r="J14" s="19"/>
      <c r="K14" s="2"/>
      <c r="L14" s="2">
        <f t="shared" si="0"/>
        <v>-3451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3451</v>
      </c>
      <c r="U14" s="2"/>
      <c r="V14" s="19"/>
      <c r="W14" s="2"/>
      <c r="X14" s="2">
        <f t="shared" si="2"/>
        <v>-3451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2203</v>
      </c>
      <c r="I16" s="4"/>
      <c r="J16" s="12">
        <f t="shared" ref="J16:J17" si="7">IF(H$12=0,0,H16/H$12)</f>
        <v>0.4901001112347052</v>
      </c>
      <c r="K16" s="4"/>
      <c r="L16" s="4">
        <f t="shared" ref="L16:L17" si="8">+D16-H16</f>
        <v>-2203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2203</v>
      </c>
      <c r="U16" s="4"/>
      <c r="V16" s="12">
        <f t="shared" ref="V16:V17" si="11">IF(T$12=0,0,T16/T$12)</f>
        <v>0.4901001112347052</v>
      </c>
      <c r="W16" s="4"/>
      <c r="X16" s="4">
        <f t="shared" ref="X16:X17" si="12">+P16-T16</f>
        <v>-2203</v>
      </c>
      <c r="Y16" s="4"/>
      <c r="Z16" s="12">
        <f t="shared" ref="Z16:Z17" si="13">IF(T16=0,0,X16/T16)</f>
        <v>-1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2203</v>
      </c>
      <c r="I17" s="2"/>
      <c r="J17" s="19">
        <f t="shared" si="7"/>
        <v>0.4901001112347052</v>
      </c>
      <c r="K17" s="2"/>
      <c r="L17" s="2">
        <f t="shared" si="8"/>
        <v>-2203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2203</v>
      </c>
      <c r="U17" s="2"/>
      <c r="V17" s="19">
        <f t="shared" si="11"/>
        <v>0.4901001112347052</v>
      </c>
      <c r="W17" s="2"/>
      <c r="X17" s="2">
        <f t="shared" si="12"/>
        <v>-2203</v>
      </c>
      <c r="Y17" s="2"/>
      <c r="Z17" s="19">
        <f t="shared" si="13"/>
        <v>-1</v>
      </c>
    </row>
    <row r="18" spans="1:26" x14ac:dyDescent="0.3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3">
      <c r="A19" s="10"/>
      <c r="B19" s="26" t="s">
        <v>108</v>
      </c>
      <c r="C19" s="26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2292</v>
      </c>
      <c r="I19" s="13"/>
      <c r="J19" s="20">
        <f>IF(H$12=0,0,H19/H$12)</f>
        <v>0.5098998887652948</v>
      </c>
      <c r="K19" s="16"/>
      <c r="L19" s="21">
        <f>+D19-H19</f>
        <v>-2292</v>
      </c>
      <c r="M19" s="16"/>
      <c r="N19" s="20">
        <f>IF(H19=0,0,L19/H19)</f>
        <v>-1</v>
      </c>
      <c r="O19" s="25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2292</v>
      </c>
      <c r="U19" s="13"/>
      <c r="V19" s="20">
        <f>IF(T$12=0,0,T19/T$12)</f>
        <v>0.5098998887652948</v>
      </c>
      <c r="W19" s="16"/>
      <c r="X19" s="21">
        <f>+P19-T19</f>
        <v>-2292</v>
      </c>
      <c r="Y19" s="16"/>
      <c r="Z19" s="20">
        <f>IF(T19=0,0,X19/T19)</f>
        <v>-1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5" t="s">
        <v>295</v>
      </c>
      <c r="C21" s="10"/>
      <c r="D21" s="22">
        <f>SUM(OSRRefD22x_0)</f>
        <v>2313.6099999999997</v>
      </c>
      <c r="E21" s="22"/>
      <c r="F21" s="31">
        <f t="shared" ref="F21:F31" si="14">IF(D$12=0,0,D21/D$12)</f>
        <v>0</v>
      </c>
      <c r="G21" s="22"/>
      <c r="H21" s="22">
        <f>SUM(OSRRefH22x_0)</f>
        <v>8350.3832249999996</v>
      </c>
      <c r="I21" s="22"/>
      <c r="J21" s="31">
        <f t="shared" ref="J21:J31" si="15">IF(H$12=0,0,H21/H$12)</f>
        <v>1.857704833147942</v>
      </c>
      <c r="K21" s="4"/>
      <c r="L21" s="22">
        <f t="shared" ref="L21:L31" si="16">+D21-H21</f>
        <v>-6036.7732249999999</v>
      </c>
      <c r="M21" s="4"/>
      <c r="N21" s="31">
        <f t="shared" ref="N21:N31" si="17">IF(H21=0,0,L21/H21)</f>
        <v>-0.72293367410092724</v>
      </c>
      <c r="O21" s="10"/>
      <c r="P21" s="22">
        <f>SUM(OSRRefP22x_0)</f>
        <v>3498.12</v>
      </c>
      <c r="Q21" s="22"/>
      <c r="R21" s="31">
        <f t="shared" ref="R21:R31" si="18">IF(P$12=0,0,P21/P$12)</f>
        <v>0</v>
      </c>
      <c r="S21" s="22"/>
      <c r="T21" s="22">
        <f>SUM(OSRRefT22x_0)</f>
        <v>9743.3832249999996</v>
      </c>
      <c r="U21" s="22"/>
      <c r="V21" s="31">
        <f t="shared" ref="V21:V31" si="19">IF(T$12=0,0,T21/T$12)</f>
        <v>2.1676047219132371</v>
      </c>
      <c r="W21" s="4"/>
      <c r="X21" s="22">
        <f t="shared" ref="X21:X31" si="20">+P21-T21</f>
        <v>-6245.2632249999997</v>
      </c>
      <c r="Y21" s="4"/>
      <c r="Z21" s="31">
        <f t="shared" ref="Z21:Z31" si="21">IF(T21=0,0,X21/T21)</f>
        <v>-0.64097481139565871</v>
      </c>
    </row>
    <row r="22" spans="1:26" s="28" customFormat="1" outlineLevel="1" collapsed="1" x14ac:dyDescent="0.3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84.99</v>
      </c>
      <c r="E22" s="1"/>
      <c r="F22" s="5">
        <f t="shared" si="14"/>
        <v>0</v>
      </c>
      <c r="G22" s="1"/>
      <c r="H22" s="1">
        <f>SUM(OSRRefH22_0x_0)</f>
        <v>579.00822500000004</v>
      </c>
      <c r="I22" s="1"/>
      <c r="J22" s="5">
        <f t="shared" si="15"/>
        <v>0.12881161846496109</v>
      </c>
      <c r="K22" s="1"/>
      <c r="L22" s="1">
        <f t="shared" si="16"/>
        <v>-494.01822500000003</v>
      </c>
      <c r="M22" s="1"/>
      <c r="N22" s="5">
        <f t="shared" si="17"/>
        <v>-0.85321452039822054</v>
      </c>
      <c r="O22" s="14"/>
      <c r="P22" s="1">
        <f>SUM(OSRRefP22_0x_0)</f>
        <v>84.99</v>
      </c>
      <c r="Q22" s="1"/>
      <c r="R22" s="5">
        <f t="shared" si="18"/>
        <v>0</v>
      </c>
      <c r="S22" s="1"/>
      <c r="T22" s="1">
        <f>SUM(OSRRefT22_0x_0)</f>
        <v>579.00822500000004</v>
      </c>
      <c r="U22" s="1"/>
      <c r="V22" s="5">
        <f t="shared" si="19"/>
        <v>0.12881161846496109</v>
      </c>
      <c r="W22" s="1"/>
      <c r="X22" s="1">
        <f t="shared" si="20"/>
        <v>-494.01822500000003</v>
      </c>
      <c r="Y22" s="1"/>
      <c r="Z22" s="5">
        <f t="shared" si="21"/>
        <v>-0.85321452039822054</v>
      </c>
    </row>
    <row r="23" spans="1:26" s="24" customFormat="1" hidden="1" outlineLevel="2" x14ac:dyDescent="0.3">
      <c r="A23" s="27"/>
      <c r="B23" s="11" t="str">
        <f>CONCATENATE("          ", "6111", " - ", "F.I.C.A.")</f>
        <v xml:space="preserve">          6111 - F.I.C.A.</v>
      </c>
      <c r="C23" s="11"/>
      <c r="D23" s="6">
        <v>6.91</v>
      </c>
      <c r="E23" s="2"/>
      <c r="F23" s="7">
        <f t="shared" si="14"/>
        <v>0</v>
      </c>
      <c r="G23" s="2"/>
      <c r="H23" s="6">
        <v>247.38322500000001</v>
      </c>
      <c r="I23" s="2"/>
      <c r="J23" s="7">
        <f t="shared" si="15"/>
        <v>5.503520022246941E-2</v>
      </c>
      <c r="K23" s="2"/>
      <c r="L23" s="6">
        <f t="shared" si="16"/>
        <v>-240.47322500000001</v>
      </c>
      <c r="M23" s="2"/>
      <c r="N23" s="7">
        <f t="shared" si="17"/>
        <v>-0.97206762908034694</v>
      </c>
      <c r="O23" s="11"/>
      <c r="P23" s="6">
        <v>6.91</v>
      </c>
      <c r="Q23" s="2"/>
      <c r="R23" s="7">
        <f t="shared" si="18"/>
        <v>0</v>
      </c>
      <c r="S23" s="2"/>
      <c r="T23" s="6">
        <v>247.38322500000001</v>
      </c>
      <c r="U23" s="2"/>
      <c r="V23" s="7">
        <f t="shared" si="19"/>
        <v>5.503520022246941E-2</v>
      </c>
      <c r="W23" s="2"/>
      <c r="X23" s="6">
        <f t="shared" si="20"/>
        <v>-240.47322500000001</v>
      </c>
      <c r="Y23" s="2"/>
      <c r="Z23" s="7">
        <f t="shared" si="21"/>
        <v>-0.97206762908034694</v>
      </c>
    </row>
    <row r="24" spans="1:26" s="24" customFormat="1" hidden="1" outlineLevel="2" x14ac:dyDescent="0.3">
      <c r="A24" s="27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179.55125000000001</v>
      </c>
      <c r="I24" s="2"/>
      <c r="J24" s="7">
        <f t="shared" si="15"/>
        <v>3.9944660734149054E-2</v>
      </c>
      <c r="K24" s="2"/>
      <c r="L24" s="6">
        <f t="shared" si="16"/>
        <v>-179.55125000000001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179.55125000000001</v>
      </c>
      <c r="U24" s="2"/>
      <c r="V24" s="7">
        <f t="shared" si="19"/>
        <v>3.9944660734149054E-2</v>
      </c>
      <c r="W24" s="2"/>
      <c r="X24" s="6">
        <f t="shared" si="20"/>
        <v>-179.55125000000001</v>
      </c>
      <c r="Y24" s="2"/>
      <c r="Z24" s="7">
        <f t="shared" si="21"/>
        <v>-1</v>
      </c>
    </row>
    <row r="25" spans="1:26" s="24" customFormat="1" hidden="1" outlineLevel="2" x14ac:dyDescent="0.3">
      <c r="A25" s="27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/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0</v>
      </c>
      <c r="Y25" s="2"/>
      <c r="Z25" s="7">
        <f t="shared" si="21"/>
        <v>0</v>
      </c>
    </row>
    <row r="26" spans="1:26" s="24" customFormat="1" hidden="1" outlineLevel="2" x14ac:dyDescent="0.3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9.9487500000000004</v>
      </c>
      <c r="I26" s="2"/>
      <c r="J26" s="7">
        <f t="shared" si="15"/>
        <v>2.2132925472747498E-3</v>
      </c>
      <c r="K26" s="2"/>
      <c r="L26" s="6">
        <f t="shared" si="16"/>
        <v>-9.9487500000000004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9.9487500000000004</v>
      </c>
      <c r="U26" s="2"/>
      <c r="V26" s="7">
        <f t="shared" si="19"/>
        <v>2.2132925472747498E-3</v>
      </c>
      <c r="W26" s="2"/>
      <c r="X26" s="6">
        <f t="shared" si="20"/>
        <v>-9.9487500000000004</v>
      </c>
      <c r="Y26" s="2"/>
      <c r="Z26" s="7">
        <f t="shared" si="21"/>
        <v>-1</v>
      </c>
    </row>
    <row r="27" spans="1:26" s="24" customFormat="1" hidden="1" outlineLevel="2" x14ac:dyDescent="0.3">
      <c r="A27" s="27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/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0</v>
      </c>
      <c r="Y27" s="2"/>
      <c r="Z27" s="7">
        <f t="shared" si="21"/>
        <v>0</v>
      </c>
    </row>
    <row r="28" spans="1:26" s="24" customFormat="1" hidden="1" outlineLevel="2" x14ac:dyDescent="0.3">
      <c r="A28" s="27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3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3">
      <c r="A30" s="27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142.125</v>
      </c>
      <c r="I30" s="2"/>
      <c r="J30" s="7">
        <f t="shared" si="15"/>
        <v>3.1618464961067856E-2</v>
      </c>
      <c r="K30" s="2"/>
      <c r="L30" s="6">
        <f t="shared" si="16"/>
        <v>-142.125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142.125</v>
      </c>
      <c r="U30" s="2"/>
      <c r="V30" s="7">
        <f t="shared" si="19"/>
        <v>3.1618464961067856E-2</v>
      </c>
      <c r="W30" s="2"/>
      <c r="X30" s="6">
        <f t="shared" si="20"/>
        <v>-142.125</v>
      </c>
      <c r="Y30" s="2"/>
      <c r="Z30" s="7">
        <f t="shared" si="21"/>
        <v>-1</v>
      </c>
    </row>
    <row r="31" spans="1:26" s="24" customFormat="1" hidden="1" outlineLevel="2" x14ac:dyDescent="0.3">
      <c r="A31" s="27"/>
      <c r="B31" s="11" t="str">
        <f>CONCATENATE("          ", "6156", " - ", "EMPLOYEE MEALS")</f>
        <v xml:space="preserve">          6156 - EMPLOYEE MEALS</v>
      </c>
      <c r="C31" s="11"/>
      <c r="D31" s="6">
        <v>78.08</v>
      </c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78.08</v>
      </c>
      <c r="M31" s="2"/>
      <c r="N31" s="7">
        <f t="shared" si="17"/>
        <v>0</v>
      </c>
      <c r="O31" s="11"/>
      <c r="P31" s="6">
        <v>78.08</v>
      </c>
      <c r="Q31" s="2"/>
      <c r="R31" s="7">
        <f t="shared" si="18"/>
        <v>0</v>
      </c>
      <c r="S31" s="2"/>
      <c r="T31" s="6"/>
      <c r="U31" s="2"/>
      <c r="V31" s="7">
        <f t="shared" si="19"/>
        <v>0</v>
      </c>
      <c r="W31" s="2"/>
      <c r="X31" s="6">
        <f t="shared" si="20"/>
        <v>78.08</v>
      </c>
      <c r="Y31" s="2"/>
      <c r="Z31" s="7">
        <f t="shared" si="21"/>
        <v>0</v>
      </c>
    </row>
    <row r="32" spans="1:26" s="28" customFormat="1" outlineLevel="1" collapsed="1" x14ac:dyDescent="0.3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90.3</v>
      </c>
      <c r="E32" s="1"/>
      <c r="F32" s="5">
        <f t="shared" ref="F32:F42" si="22">IF(D$12=0,0,D32/D$12)</f>
        <v>0</v>
      </c>
      <c r="G32" s="1"/>
      <c r="H32" s="1">
        <f>SUM(OSRRefH22_1x_0)</f>
        <v>4595.375</v>
      </c>
      <c r="I32" s="1"/>
      <c r="J32" s="5">
        <f t="shared" ref="J32:J42" si="23">IF(H$12=0,0,H32/H$12)</f>
        <v>1.0223303670745272</v>
      </c>
      <c r="K32" s="1"/>
      <c r="L32" s="1">
        <f t="shared" ref="L32:L42" si="24">+D32-H32</f>
        <v>-4505.0749999999998</v>
      </c>
      <c r="M32" s="1"/>
      <c r="N32" s="5">
        <f t="shared" ref="N32:N42" si="25">IF(H32=0,0,L32/H32)</f>
        <v>-0.98034980823110185</v>
      </c>
      <c r="O32" s="14"/>
      <c r="P32" s="1">
        <f>SUM(OSRRefP22_1x_0)</f>
        <v>90.3</v>
      </c>
      <c r="Q32" s="1"/>
      <c r="R32" s="5">
        <f t="shared" ref="R32:R42" si="26">IF(P$12=0,0,P32/P$12)</f>
        <v>0</v>
      </c>
      <c r="S32" s="1"/>
      <c r="T32" s="1">
        <f>SUM(OSRRefT22_1x_0)</f>
        <v>4595.375</v>
      </c>
      <c r="U32" s="1"/>
      <c r="V32" s="5">
        <f t="shared" ref="V32:V42" si="27">IF(T$12=0,0,T32/T$12)</f>
        <v>1.0223303670745272</v>
      </c>
      <c r="W32" s="1"/>
      <c r="X32" s="1">
        <f t="shared" ref="X32:X42" si="28">+P32-T32</f>
        <v>-4505.0749999999998</v>
      </c>
      <c r="Y32" s="1"/>
      <c r="Z32" s="5">
        <f t="shared" ref="Z32:Z42" si="29">IF(T32=0,0,X32/T32)</f>
        <v>-0.98034980823110185</v>
      </c>
    </row>
    <row r="33" spans="1:26" s="24" customFormat="1" hidden="1" outlineLevel="2" x14ac:dyDescent="0.3">
      <c r="A33" s="27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0</v>
      </c>
      <c r="Y33" s="2"/>
      <c r="Z33" s="7">
        <f t="shared" si="29"/>
        <v>0</v>
      </c>
    </row>
    <row r="34" spans="1:26" s="24" customFormat="1" hidden="1" outlineLevel="2" x14ac:dyDescent="0.3">
      <c r="A34" s="27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3">
      <c r="A35" s="27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3">
      <c r="A36" s="27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22"/>
        <v>0</v>
      </c>
      <c r="G36" s="2"/>
      <c r="H36" s="6">
        <v>3135.5250000000001</v>
      </c>
      <c r="I36" s="2"/>
      <c r="J36" s="7">
        <f t="shared" si="23"/>
        <v>0.69755839822024479</v>
      </c>
      <c r="K36" s="2"/>
      <c r="L36" s="6">
        <f t="shared" si="24"/>
        <v>-3135.5250000000001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3135.5250000000001</v>
      </c>
      <c r="U36" s="2"/>
      <c r="V36" s="7">
        <f t="shared" si="27"/>
        <v>0.69755839822024479</v>
      </c>
      <c r="W36" s="2"/>
      <c r="X36" s="6">
        <f t="shared" si="28"/>
        <v>-3135.5250000000001</v>
      </c>
      <c r="Y36" s="2"/>
      <c r="Z36" s="7">
        <f t="shared" si="29"/>
        <v>-1</v>
      </c>
    </row>
    <row r="37" spans="1:26" s="24" customFormat="1" hidden="1" outlineLevel="2" x14ac:dyDescent="0.3">
      <c r="A37" s="27"/>
      <c r="B37" s="11" t="str">
        <f>CONCATENATE("          ", "6005", " - ", "TEMPORARY WAGES-HOURLY")</f>
        <v xml:space="preserve">          6005 - TEMPORARY WAGES-HOURLY</v>
      </c>
      <c r="C37" s="11"/>
      <c r="D37" s="6">
        <v>90.3</v>
      </c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90.3</v>
      </c>
      <c r="M37" s="2"/>
      <c r="N37" s="7">
        <f t="shared" si="25"/>
        <v>0</v>
      </c>
      <c r="O37" s="11"/>
      <c r="P37" s="6">
        <v>90.3</v>
      </c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90.3</v>
      </c>
      <c r="Y37" s="2"/>
      <c r="Z37" s="7">
        <f t="shared" si="29"/>
        <v>0</v>
      </c>
    </row>
    <row r="38" spans="1:26" s="24" customFormat="1" hidden="1" outlineLevel="2" x14ac:dyDescent="0.3">
      <c r="A38" s="27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3">
      <c r="A39" s="27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3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1459.85</v>
      </c>
      <c r="I40" s="2"/>
      <c r="J40" s="7">
        <f t="shared" si="23"/>
        <v>0.3247719688542825</v>
      </c>
      <c r="K40" s="2"/>
      <c r="L40" s="6">
        <f t="shared" si="24"/>
        <v>-1459.85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1459.85</v>
      </c>
      <c r="U40" s="2"/>
      <c r="V40" s="7">
        <f t="shared" si="27"/>
        <v>0.3247719688542825</v>
      </c>
      <c r="W40" s="2"/>
      <c r="X40" s="6">
        <f t="shared" si="28"/>
        <v>-1459.85</v>
      </c>
      <c r="Y40" s="2"/>
      <c r="Z40" s="7">
        <f t="shared" si="29"/>
        <v>-1</v>
      </c>
    </row>
    <row r="41" spans="1:26" s="24" customFormat="1" hidden="1" outlineLevel="2" x14ac:dyDescent="0.3">
      <c r="A41" s="27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3">
      <c r="A42" s="27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8" customFormat="1" outlineLevel="1" collapsed="1" x14ac:dyDescent="0.3">
      <c r="A43" s="29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3" si="30">IF(D$12=0,0,D43/D$12)</f>
        <v>0</v>
      </c>
      <c r="G43" s="1"/>
      <c r="H43" s="1">
        <f>SUM(OSRRefH22_2x_0)</f>
        <v>0</v>
      </c>
      <c r="I43" s="1"/>
      <c r="J43" s="5">
        <f t="shared" ref="J43:J53" si="31">IF(H$12=0,0,H43/H$12)</f>
        <v>0</v>
      </c>
      <c r="K43" s="1"/>
      <c r="L43" s="1">
        <f t="shared" ref="L43:L53" si="32">+D43-H43</f>
        <v>0</v>
      </c>
      <c r="M43" s="1"/>
      <c r="N43" s="5">
        <f t="shared" ref="N43:N53" si="33">IF(H43=0,0,L43/H43)</f>
        <v>0</v>
      </c>
      <c r="O43" s="14"/>
      <c r="P43" s="1">
        <f>SUM(OSRRefP22_2x_0)</f>
        <v>0</v>
      </c>
      <c r="Q43" s="1"/>
      <c r="R43" s="5">
        <f t="shared" ref="R43:R53" si="34">IF(P$12=0,0,P43/P$12)</f>
        <v>0</v>
      </c>
      <c r="S43" s="1"/>
      <c r="T43" s="1">
        <f>SUM(OSRRefT22_2x_0)</f>
        <v>0</v>
      </c>
      <c r="U43" s="1"/>
      <c r="V43" s="5">
        <f t="shared" ref="V43:V53" si="35">IF(T$12=0,0,T43/T$12)</f>
        <v>0</v>
      </c>
      <c r="W43" s="1"/>
      <c r="X43" s="1">
        <f t="shared" ref="X43:X53" si="36">+P43-T43</f>
        <v>0</v>
      </c>
      <c r="Y43" s="1"/>
      <c r="Z43" s="5">
        <f t="shared" ref="Z43:Z53" si="37">IF(T43=0,0,X43/T43)</f>
        <v>0</v>
      </c>
    </row>
    <row r="44" spans="1:26" s="24" customFormat="1" hidden="1" outlineLevel="2" x14ac:dyDescent="0.3">
      <c r="A44" s="27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30"/>
        <v>0</v>
      </c>
      <c r="G44" s="2"/>
      <c r="H44" s="6">
        <v>0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/>
      <c r="Q44" s="2"/>
      <c r="R44" s="7">
        <f t="shared" si="34"/>
        <v>0</v>
      </c>
      <c r="S44" s="2"/>
      <c r="T44" s="6">
        <v>0</v>
      </c>
      <c r="U44" s="2"/>
      <c r="V44" s="7">
        <f t="shared" si="35"/>
        <v>0</v>
      </c>
      <c r="W44" s="2"/>
      <c r="X44" s="6">
        <f t="shared" si="36"/>
        <v>0</v>
      </c>
      <c r="Y44" s="2"/>
      <c r="Z44" s="7">
        <f t="shared" si="37"/>
        <v>0</v>
      </c>
    </row>
    <row r="45" spans="1:26" s="28" customFormat="1" outlineLevel="1" collapsed="1" x14ac:dyDescent="0.3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100.34</v>
      </c>
      <c r="E45" s="1"/>
      <c r="F45" s="5">
        <f t="shared" si="30"/>
        <v>0</v>
      </c>
      <c r="G45" s="1"/>
      <c r="H45" s="1">
        <f>SUM(OSRRefH22_3x_0)</f>
        <v>153</v>
      </c>
      <c r="I45" s="1"/>
      <c r="J45" s="5">
        <f t="shared" si="31"/>
        <v>3.4037819799777533E-2</v>
      </c>
      <c r="K45" s="1"/>
      <c r="L45" s="1">
        <f t="shared" si="32"/>
        <v>-52.66</v>
      </c>
      <c r="M45" s="1"/>
      <c r="N45" s="5">
        <f t="shared" si="33"/>
        <v>-0.34418300653594769</v>
      </c>
      <c r="O45" s="14"/>
      <c r="P45" s="1">
        <f>SUM(OSRRefP22_3x_0)</f>
        <v>175.46</v>
      </c>
      <c r="Q45" s="1"/>
      <c r="R45" s="5">
        <f t="shared" si="34"/>
        <v>0</v>
      </c>
      <c r="S45" s="1"/>
      <c r="T45" s="1">
        <f>SUM(OSRRefT22_3x_0)</f>
        <v>153</v>
      </c>
      <c r="U45" s="1"/>
      <c r="V45" s="5">
        <f t="shared" si="35"/>
        <v>3.4037819799777533E-2</v>
      </c>
      <c r="W45" s="1"/>
      <c r="X45" s="1">
        <f t="shared" si="36"/>
        <v>22.460000000000008</v>
      </c>
      <c r="Y45" s="1"/>
      <c r="Z45" s="5">
        <f t="shared" si="37"/>
        <v>0.14679738562091507</v>
      </c>
    </row>
    <row r="46" spans="1:26" s="24" customFormat="1" hidden="1" outlineLevel="2" x14ac:dyDescent="0.3">
      <c r="A46" s="27"/>
      <c r="B46" s="11" t="str">
        <f>CONCATENATE("          ", "6381", " - ", "BANK/CREDIT CARD FEES")</f>
        <v xml:space="preserve">          6381 - BANK/CREDIT CARD FEES</v>
      </c>
      <c r="C46" s="11"/>
      <c r="D46" s="6">
        <v>100.34</v>
      </c>
      <c r="E46" s="2"/>
      <c r="F46" s="7">
        <f t="shared" si="30"/>
        <v>0</v>
      </c>
      <c r="G46" s="2"/>
      <c r="H46" s="6">
        <v>153</v>
      </c>
      <c r="I46" s="2"/>
      <c r="J46" s="7">
        <f t="shared" si="31"/>
        <v>3.4037819799777533E-2</v>
      </c>
      <c r="K46" s="2"/>
      <c r="L46" s="6">
        <f t="shared" si="32"/>
        <v>-52.66</v>
      </c>
      <c r="M46" s="2"/>
      <c r="N46" s="7">
        <f t="shared" si="33"/>
        <v>-0.34418300653594769</v>
      </c>
      <c r="O46" s="11"/>
      <c r="P46" s="6">
        <v>175.46</v>
      </c>
      <c r="Q46" s="2"/>
      <c r="R46" s="7">
        <f t="shared" si="34"/>
        <v>0</v>
      </c>
      <c r="S46" s="2"/>
      <c r="T46" s="6">
        <v>153</v>
      </c>
      <c r="U46" s="2"/>
      <c r="V46" s="7">
        <f t="shared" si="35"/>
        <v>3.4037819799777533E-2</v>
      </c>
      <c r="W46" s="2"/>
      <c r="X46" s="6">
        <f t="shared" si="36"/>
        <v>22.460000000000008</v>
      </c>
      <c r="Y46" s="2"/>
      <c r="Z46" s="7">
        <f t="shared" si="37"/>
        <v>0.14679738562091507</v>
      </c>
    </row>
    <row r="47" spans="1:26" s="28" customFormat="1" outlineLevel="1" collapsed="1" x14ac:dyDescent="0.3">
      <c r="A47" s="29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SUM(OSRRefD22_4x_0)</f>
        <v>1075.3900000000001</v>
      </c>
      <c r="E47" s="1"/>
      <c r="F47" s="5">
        <f t="shared" si="30"/>
        <v>0</v>
      </c>
      <c r="G47" s="1"/>
      <c r="H47" s="1">
        <f>SUM(OSRRefH22_4x_0)</f>
        <v>1075</v>
      </c>
      <c r="I47" s="1"/>
      <c r="J47" s="5">
        <f t="shared" si="31"/>
        <v>0.23915461624026696</v>
      </c>
      <c r="K47" s="1"/>
      <c r="L47" s="1">
        <f t="shared" si="32"/>
        <v>0.39000000000010004</v>
      </c>
      <c r="M47" s="1"/>
      <c r="N47" s="5">
        <f t="shared" si="33"/>
        <v>3.6279069767451168E-4</v>
      </c>
      <c r="O47" s="14"/>
      <c r="P47" s="1">
        <f>SUM(OSRRefP22_4x_0)</f>
        <v>2150.7800000000002</v>
      </c>
      <c r="Q47" s="1"/>
      <c r="R47" s="5">
        <f t="shared" si="34"/>
        <v>0</v>
      </c>
      <c r="S47" s="1"/>
      <c r="T47" s="1">
        <f>SUM(OSRRefT22_4x_0)</f>
        <v>2150</v>
      </c>
      <c r="U47" s="1"/>
      <c r="V47" s="5">
        <f t="shared" si="35"/>
        <v>0.47830923248053392</v>
      </c>
      <c r="W47" s="1"/>
      <c r="X47" s="1">
        <f t="shared" si="36"/>
        <v>0.78000000000020009</v>
      </c>
      <c r="Y47" s="1"/>
      <c r="Z47" s="5">
        <f t="shared" si="37"/>
        <v>3.6279069767451168E-4</v>
      </c>
    </row>
    <row r="48" spans="1:26" s="24" customFormat="1" hidden="1" outlineLevel="2" x14ac:dyDescent="0.3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1075.3900000000001</v>
      </c>
      <c r="E48" s="2"/>
      <c r="F48" s="7">
        <f t="shared" si="30"/>
        <v>0</v>
      </c>
      <c r="G48" s="2"/>
      <c r="H48" s="6">
        <v>1075</v>
      </c>
      <c r="I48" s="2"/>
      <c r="J48" s="7">
        <f t="shared" si="31"/>
        <v>0.23915461624026696</v>
      </c>
      <c r="K48" s="2"/>
      <c r="L48" s="6">
        <f t="shared" si="32"/>
        <v>0.39000000000010004</v>
      </c>
      <c r="M48" s="2"/>
      <c r="N48" s="7">
        <f t="shared" si="33"/>
        <v>3.6279069767451168E-4</v>
      </c>
      <c r="O48" s="11"/>
      <c r="P48" s="6">
        <v>2150.7800000000002</v>
      </c>
      <c r="Q48" s="2"/>
      <c r="R48" s="7">
        <f t="shared" si="34"/>
        <v>0</v>
      </c>
      <c r="S48" s="2"/>
      <c r="T48" s="6">
        <v>2150</v>
      </c>
      <c r="U48" s="2"/>
      <c r="V48" s="7">
        <f t="shared" si="35"/>
        <v>0.47830923248053392</v>
      </c>
      <c r="W48" s="2"/>
      <c r="X48" s="6">
        <f t="shared" si="36"/>
        <v>0.78000000000020009</v>
      </c>
      <c r="Y48" s="2"/>
      <c r="Z48" s="7">
        <f t="shared" si="37"/>
        <v>3.6279069767451168E-4</v>
      </c>
    </row>
    <row r="49" spans="1:26" s="28" customFormat="1" outlineLevel="1" collapsed="1" x14ac:dyDescent="0.3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SUM(OSRRefD22_5x_0)</f>
        <v>769.55</v>
      </c>
      <c r="E49" s="1"/>
      <c r="F49" s="5">
        <f t="shared" si="30"/>
        <v>0</v>
      </c>
      <c r="G49" s="1"/>
      <c r="H49" s="1">
        <f>SUM(OSRRefH22_5x_0)</f>
        <v>0</v>
      </c>
      <c r="I49" s="1"/>
      <c r="J49" s="5">
        <f t="shared" si="31"/>
        <v>0</v>
      </c>
      <c r="K49" s="1"/>
      <c r="L49" s="1">
        <f t="shared" si="32"/>
        <v>769.55</v>
      </c>
      <c r="M49" s="1"/>
      <c r="N49" s="5">
        <f t="shared" si="33"/>
        <v>0</v>
      </c>
      <c r="O49" s="14"/>
      <c r="P49" s="1">
        <f>SUM(OSRRefP22_5x_0)</f>
        <v>769.55</v>
      </c>
      <c r="Q49" s="1"/>
      <c r="R49" s="5">
        <f t="shared" si="34"/>
        <v>0</v>
      </c>
      <c r="S49" s="1"/>
      <c r="T49" s="1">
        <f>SUM(OSRRefT22_5x_0)</f>
        <v>0</v>
      </c>
      <c r="U49" s="1"/>
      <c r="V49" s="5">
        <f t="shared" si="35"/>
        <v>0</v>
      </c>
      <c r="W49" s="1"/>
      <c r="X49" s="1">
        <f t="shared" si="36"/>
        <v>769.55</v>
      </c>
      <c r="Y49" s="1"/>
      <c r="Z49" s="5">
        <f t="shared" si="37"/>
        <v>0</v>
      </c>
    </row>
    <row r="50" spans="1:26" s="24" customFormat="1" hidden="1" outlineLevel="2" x14ac:dyDescent="0.3">
      <c r="A50" s="27"/>
      <c r="B50" s="11" t="str">
        <f>CONCATENATE("          ", "6279", " - ", "GENERAL EXPENSE")</f>
        <v xml:space="preserve">          6279 - GENERAL EXPENSE</v>
      </c>
      <c r="C50" s="11"/>
      <c r="D50" s="6">
        <v>769.55</v>
      </c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769.55</v>
      </c>
      <c r="M50" s="2"/>
      <c r="N50" s="7">
        <f t="shared" si="33"/>
        <v>0</v>
      </c>
      <c r="O50" s="11"/>
      <c r="P50" s="6">
        <v>769.55</v>
      </c>
      <c r="Q50" s="2"/>
      <c r="R50" s="7">
        <f t="shared" si="34"/>
        <v>0</v>
      </c>
      <c r="S50" s="2"/>
      <c r="T50" s="6"/>
      <c r="U50" s="2"/>
      <c r="V50" s="7">
        <f t="shared" si="35"/>
        <v>0</v>
      </c>
      <c r="W50" s="2"/>
      <c r="X50" s="6">
        <f t="shared" si="36"/>
        <v>769.55</v>
      </c>
      <c r="Y50" s="2"/>
      <c r="Z50" s="7">
        <f t="shared" si="37"/>
        <v>0</v>
      </c>
    </row>
    <row r="51" spans="1:26" s="28" customFormat="1" outlineLevel="1" collapsed="1" x14ac:dyDescent="0.3">
      <c r="A51" s="29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115</v>
      </c>
      <c r="I51" s="1"/>
      <c r="J51" s="5">
        <f t="shared" si="31"/>
        <v>2.5583982202447165E-2</v>
      </c>
      <c r="K51" s="1"/>
      <c r="L51" s="1">
        <f t="shared" si="32"/>
        <v>-115</v>
      </c>
      <c r="M51" s="1"/>
      <c r="N51" s="5">
        <f t="shared" si="33"/>
        <v>-1</v>
      </c>
      <c r="O51" s="14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380</v>
      </c>
      <c r="U51" s="1"/>
      <c r="V51" s="5">
        <f t="shared" si="35"/>
        <v>8.4538375973303673E-2</v>
      </c>
      <c r="W51" s="1"/>
      <c r="X51" s="1">
        <f t="shared" si="36"/>
        <v>-380</v>
      </c>
      <c r="Y51" s="1"/>
      <c r="Z51" s="5">
        <f t="shared" si="37"/>
        <v>-1</v>
      </c>
    </row>
    <row r="52" spans="1:26" s="24" customFormat="1" hidden="1" outlineLevel="2" x14ac:dyDescent="0.3">
      <c r="A52" s="27"/>
      <c r="B52" s="11" t="str">
        <f>CONCATENATE("          ", "6373", " - ", "MAINTENANCE CONTRACTS")</f>
        <v xml:space="preserve">          6373 - MAINTENANCE CONTRACTS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/>
      <c r="Q52" s="2"/>
      <c r="R52" s="7">
        <f t="shared" si="34"/>
        <v>0</v>
      </c>
      <c r="S52" s="2"/>
      <c r="T52" s="6">
        <v>150</v>
      </c>
      <c r="U52" s="2"/>
      <c r="V52" s="7">
        <f t="shared" si="35"/>
        <v>3.3370411568409343E-2</v>
      </c>
      <c r="W52" s="2"/>
      <c r="X52" s="6">
        <f t="shared" si="36"/>
        <v>-150</v>
      </c>
      <c r="Y52" s="2"/>
      <c r="Z52" s="7">
        <f t="shared" si="37"/>
        <v>-1</v>
      </c>
    </row>
    <row r="53" spans="1:26" s="24" customFormat="1" hidden="1" outlineLevel="2" x14ac:dyDescent="0.3">
      <c r="A53" s="27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30"/>
        <v>0</v>
      </c>
      <c r="G53" s="2"/>
      <c r="H53" s="6">
        <v>115</v>
      </c>
      <c r="I53" s="2"/>
      <c r="J53" s="7">
        <f t="shared" si="31"/>
        <v>2.5583982202447165E-2</v>
      </c>
      <c r="K53" s="2"/>
      <c r="L53" s="6">
        <f t="shared" si="32"/>
        <v>-115</v>
      </c>
      <c r="M53" s="2"/>
      <c r="N53" s="7">
        <f t="shared" si="33"/>
        <v>-1</v>
      </c>
      <c r="O53" s="11"/>
      <c r="P53" s="6"/>
      <c r="Q53" s="2"/>
      <c r="R53" s="7">
        <f t="shared" si="34"/>
        <v>0</v>
      </c>
      <c r="S53" s="2"/>
      <c r="T53" s="6">
        <v>230</v>
      </c>
      <c r="U53" s="2"/>
      <c r="V53" s="7">
        <f t="shared" si="35"/>
        <v>5.116796440489433E-2</v>
      </c>
      <c r="W53" s="2"/>
      <c r="X53" s="6">
        <f t="shared" si="36"/>
        <v>-230</v>
      </c>
      <c r="Y53" s="2"/>
      <c r="Z53" s="7">
        <f t="shared" si="37"/>
        <v>-1</v>
      </c>
    </row>
    <row r="54" spans="1:26" s="28" customFormat="1" outlineLevel="1" collapsed="1" x14ac:dyDescent="0.3">
      <c r="A54" s="29"/>
      <c r="B54" s="14" t="str">
        <f>CONCATENATE("     ","Royalty &amp; Commissions                             ")</f>
        <v xml:space="preserve">     Royalty &amp; Commissions                             </v>
      </c>
      <c r="C54" s="14"/>
      <c r="D54" s="1">
        <f>SUM(OSRRefD22_7x_0)</f>
        <v>0</v>
      </c>
      <c r="E54" s="1"/>
      <c r="F54" s="5">
        <f t="shared" ref="F54:F58" si="38">IF(D$12=0,0,D54/D$12)</f>
        <v>0</v>
      </c>
      <c r="G54" s="1"/>
      <c r="H54" s="1">
        <f>SUM(OSRRefH22_7x_0)</f>
        <v>405</v>
      </c>
      <c r="I54" s="1"/>
      <c r="J54" s="5">
        <f t="shared" ref="J54:J58" si="39">IF(H$12=0,0,H54/H$12)</f>
        <v>9.0100111234705224E-2</v>
      </c>
      <c r="K54" s="1"/>
      <c r="L54" s="1">
        <f t="shared" ref="L54:L58" si="40">+D54-H54</f>
        <v>-405</v>
      </c>
      <c r="M54" s="1"/>
      <c r="N54" s="5">
        <f t="shared" ref="N54:N58" si="41">IF(H54=0,0,L54/H54)</f>
        <v>-1</v>
      </c>
      <c r="O54" s="14"/>
      <c r="P54" s="1">
        <f>SUM(OSRRefP22_7x_0)</f>
        <v>0</v>
      </c>
      <c r="Q54" s="1"/>
      <c r="R54" s="5">
        <f t="shared" ref="R54:R58" si="42">IF(P$12=0,0,P54/P$12)</f>
        <v>0</v>
      </c>
      <c r="S54" s="1"/>
      <c r="T54" s="1">
        <f>SUM(OSRRefT22_7x_0)</f>
        <v>405</v>
      </c>
      <c r="U54" s="1"/>
      <c r="V54" s="5">
        <f t="shared" ref="V54:V58" si="43">IF(T$12=0,0,T54/T$12)</f>
        <v>9.0100111234705224E-2</v>
      </c>
      <c r="W54" s="1"/>
      <c r="X54" s="1">
        <f t="shared" ref="X54:X58" si="44">+P54-T54</f>
        <v>-405</v>
      </c>
      <c r="Y54" s="1"/>
      <c r="Z54" s="5">
        <f t="shared" ref="Z54:Z58" si="45">IF(T54=0,0,X54/T54)</f>
        <v>-1</v>
      </c>
    </row>
    <row r="55" spans="1:26" s="24" customFormat="1" hidden="1" outlineLevel="2" x14ac:dyDescent="0.3">
      <c r="A55" s="27"/>
      <c r="B55" s="11" t="str">
        <f>CONCATENATE("          ", "6259", " - ", "ROYALTY &amp; COMMISSIONS")</f>
        <v xml:space="preserve">          6259 - ROYALTY &amp; COMMISSIONS</v>
      </c>
      <c r="C55" s="11"/>
      <c r="D55" s="6"/>
      <c r="E55" s="2"/>
      <c r="F55" s="7">
        <f t="shared" si="38"/>
        <v>0</v>
      </c>
      <c r="G55" s="2"/>
      <c r="H55" s="6">
        <v>405</v>
      </c>
      <c r="I55" s="2"/>
      <c r="J55" s="7">
        <f t="shared" si="39"/>
        <v>9.0100111234705224E-2</v>
      </c>
      <c r="K55" s="2"/>
      <c r="L55" s="6">
        <f t="shared" si="40"/>
        <v>-405</v>
      </c>
      <c r="M55" s="2"/>
      <c r="N55" s="7">
        <f t="shared" si="41"/>
        <v>-1</v>
      </c>
      <c r="O55" s="11"/>
      <c r="P55" s="6"/>
      <c r="Q55" s="2"/>
      <c r="R55" s="7">
        <f t="shared" si="42"/>
        <v>0</v>
      </c>
      <c r="S55" s="2"/>
      <c r="T55" s="6">
        <v>405</v>
      </c>
      <c r="U55" s="2"/>
      <c r="V55" s="7">
        <f t="shared" si="43"/>
        <v>9.0100111234705224E-2</v>
      </c>
      <c r="W55" s="2"/>
      <c r="X55" s="6">
        <f t="shared" si="44"/>
        <v>-405</v>
      </c>
      <c r="Y55" s="2"/>
      <c r="Z55" s="7">
        <f t="shared" si="45"/>
        <v>-1</v>
      </c>
    </row>
    <row r="56" spans="1:26" s="28" customFormat="1" outlineLevel="1" collapsed="1" x14ac:dyDescent="0.3">
      <c r="A56" s="29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SUM(OSRRefD22_8x_0)</f>
        <v>103.2</v>
      </c>
      <c r="E56" s="1"/>
      <c r="F56" s="5">
        <f t="shared" si="38"/>
        <v>0</v>
      </c>
      <c r="G56" s="1"/>
      <c r="H56" s="1">
        <f>SUM(OSRRefH22_8x_0)</f>
        <v>100</v>
      </c>
      <c r="I56" s="1"/>
      <c r="J56" s="5">
        <f t="shared" si="39"/>
        <v>2.224694104560623E-2</v>
      </c>
      <c r="K56" s="1"/>
      <c r="L56" s="1">
        <f t="shared" si="40"/>
        <v>3.2000000000000028</v>
      </c>
      <c r="M56" s="1"/>
      <c r="N56" s="5">
        <f t="shared" si="41"/>
        <v>3.2000000000000028E-2</v>
      </c>
      <c r="O56" s="14"/>
      <c r="P56" s="1">
        <f>SUM(OSRRefP22_8x_0)</f>
        <v>103.2</v>
      </c>
      <c r="Q56" s="1"/>
      <c r="R56" s="5">
        <f t="shared" si="42"/>
        <v>0</v>
      </c>
      <c r="S56" s="1"/>
      <c r="T56" s="1">
        <f>SUM(OSRRefT22_8x_0)</f>
        <v>100</v>
      </c>
      <c r="U56" s="1"/>
      <c r="V56" s="5">
        <f t="shared" si="43"/>
        <v>2.224694104560623E-2</v>
      </c>
      <c r="W56" s="1"/>
      <c r="X56" s="1">
        <f t="shared" si="44"/>
        <v>3.2000000000000028</v>
      </c>
      <c r="Y56" s="1"/>
      <c r="Z56" s="5">
        <f t="shared" si="45"/>
        <v>3.2000000000000028E-2</v>
      </c>
    </row>
    <row r="57" spans="1:26" s="24" customFormat="1" hidden="1" outlineLevel="2" x14ac:dyDescent="0.3">
      <c r="A57" s="27"/>
      <c r="B57" s="11" t="str">
        <f>CONCATENATE("          ", "6282", " - ", "JANITORIAL/EXTERMINATOR EXPENS")</f>
        <v xml:space="preserve">          6282 - JANITORIAL/EXTERMINATOR EXPENS</v>
      </c>
      <c r="C57" s="11"/>
      <c r="D57" s="6"/>
      <c r="E57" s="2"/>
      <c r="F57" s="7">
        <f t="shared" si="38"/>
        <v>0</v>
      </c>
      <c r="G57" s="2"/>
      <c r="H57" s="6">
        <v>100</v>
      </c>
      <c r="I57" s="2"/>
      <c r="J57" s="7">
        <f t="shared" si="39"/>
        <v>2.224694104560623E-2</v>
      </c>
      <c r="K57" s="2"/>
      <c r="L57" s="6">
        <f t="shared" si="40"/>
        <v>-100</v>
      </c>
      <c r="M57" s="2"/>
      <c r="N57" s="7">
        <f t="shared" si="41"/>
        <v>-1</v>
      </c>
      <c r="O57" s="11"/>
      <c r="P57" s="6"/>
      <c r="Q57" s="2"/>
      <c r="R57" s="7">
        <f t="shared" si="42"/>
        <v>0</v>
      </c>
      <c r="S57" s="2"/>
      <c r="T57" s="6">
        <v>100</v>
      </c>
      <c r="U57" s="2"/>
      <c r="V57" s="7">
        <f t="shared" si="43"/>
        <v>2.224694104560623E-2</v>
      </c>
      <c r="W57" s="2"/>
      <c r="X57" s="6">
        <f t="shared" si="44"/>
        <v>-100</v>
      </c>
      <c r="Y57" s="2"/>
      <c r="Z57" s="7">
        <f t="shared" si="45"/>
        <v>-1</v>
      </c>
    </row>
    <row r="58" spans="1:26" s="24" customFormat="1" hidden="1" outlineLevel="2" x14ac:dyDescent="0.3">
      <c r="A58" s="27"/>
      <c r="B58" s="11" t="str">
        <f>CONCATENATE("          ", "6285", " - ", "JANITORIAL SERVICES")</f>
        <v xml:space="preserve">          6285 - JANITORIAL SERVICES</v>
      </c>
      <c r="C58" s="11"/>
      <c r="D58" s="6">
        <v>103.2</v>
      </c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103.2</v>
      </c>
      <c r="M58" s="2"/>
      <c r="N58" s="7">
        <f t="shared" si="41"/>
        <v>0</v>
      </c>
      <c r="O58" s="11"/>
      <c r="P58" s="6">
        <v>103.2</v>
      </c>
      <c r="Q58" s="2"/>
      <c r="R58" s="7">
        <f t="shared" si="42"/>
        <v>0</v>
      </c>
      <c r="S58" s="2"/>
      <c r="T58" s="6"/>
      <c r="U58" s="2"/>
      <c r="V58" s="7">
        <f t="shared" si="43"/>
        <v>0</v>
      </c>
      <c r="W58" s="2"/>
      <c r="X58" s="6">
        <f t="shared" si="44"/>
        <v>103.2</v>
      </c>
      <c r="Y58" s="2"/>
      <c r="Z58" s="7">
        <f t="shared" si="45"/>
        <v>0</v>
      </c>
    </row>
    <row r="59" spans="1:26" s="28" customFormat="1" outlineLevel="1" collapsed="1" x14ac:dyDescent="0.3">
      <c r="A59" s="29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SUM(OSRRefD22_9x_0)</f>
        <v>38.340000000000003</v>
      </c>
      <c r="E59" s="1"/>
      <c r="F59" s="5">
        <f t="shared" ref="F59:F62" si="46">IF(D$12=0,0,D59/D$12)</f>
        <v>0</v>
      </c>
      <c r="G59" s="1"/>
      <c r="H59" s="1">
        <f>SUM(OSRRefH22_9x_0)</f>
        <v>1200</v>
      </c>
      <c r="I59" s="1"/>
      <c r="J59" s="5">
        <f t="shared" ref="J59:J62" si="47">IF(H$12=0,0,H59/H$12)</f>
        <v>0.26696329254727474</v>
      </c>
      <c r="K59" s="1"/>
      <c r="L59" s="1">
        <f t="shared" ref="L59:L62" si="48">+D59-H59</f>
        <v>-1161.6600000000001</v>
      </c>
      <c r="M59" s="1"/>
      <c r="N59" s="5">
        <f t="shared" ref="N59:N62" si="49">IF(H59=0,0,L59/H59)</f>
        <v>-0.96805000000000008</v>
      </c>
      <c r="O59" s="14"/>
      <c r="P59" s="1">
        <f>SUM(OSRRefP22_9x_0)</f>
        <v>42.84</v>
      </c>
      <c r="Q59" s="1"/>
      <c r="R59" s="5">
        <f t="shared" ref="R59:R62" si="50">IF(P$12=0,0,P59/P$12)</f>
        <v>0</v>
      </c>
      <c r="S59" s="1"/>
      <c r="T59" s="1">
        <f>SUM(OSRRefT22_9x_0)</f>
        <v>1200</v>
      </c>
      <c r="U59" s="1"/>
      <c r="V59" s="5">
        <f t="shared" ref="V59:V62" si="51">IF(T$12=0,0,T59/T$12)</f>
        <v>0.26696329254727474</v>
      </c>
      <c r="W59" s="1"/>
      <c r="X59" s="1">
        <f t="shared" ref="X59:X62" si="52">+P59-T59</f>
        <v>-1157.1600000000001</v>
      </c>
      <c r="Y59" s="1"/>
      <c r="Z59" s="5">
        <f t="shared" ref="Z59:Z62" si="53">IF(T59=0,0,X59/T59)</f>
        <v>-0.96430000000000005</v>
      </c>
    </row>
    <row r="60" spans="1:26" s="24" customFormat="1" hidden="1" outlineLevel="2" x14ac:dyDescent="0.3">
      <c r="A60" s="27"/>
      <c r="B60" s="11" t="str">
        <f>CONCATENATE("          ", "6237", " - ", "JANITORIAL SUPPLIES")</f>
        <v xml:space="preserve">          6237 - JANITORIAL SUPPLIES</v>
      </c>
      <c r="C60" s="11"/>
      <c r="D60" s="6">
        <v>38.340000000000003</v>
      </c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38.340000000000003</v>
      </c>
      <c r="M60" s="2"/>
      <c r="N60" s="7">
        <f t="shared" si="49"/>
        <v>0</v>
      </c>
      <c r="O60" s="11"/>
      <c r="P60" s="6">
        <v>38.340000000000003</v>
      </c>
      <c r="Q60" s="2"/>
      <c r="R60" s="7">
        <f t="shared" si="50"/>
        <v>0</v>
      </c>
      <c r="S60" s="2"/>
      <c r="T60" s="6"/>
      <c r="U60" s="2"/>
      <c r="V60" s="7">
        <f t="shared" si="51"/>
        <v>0</v>
      </c>
      <c r="W60" s="2"/>
      <c r="X60" s="6">
        <f t="shared" si="52"/>
        <v>38.340000000000003</v>
      </c>
      <c r="Y60" s="2"/>
      <c r="Z60" s="7">
        <f t="shared" si="53"/>
        <v>0</v>
      </c>
    </row>
    <row r="61" spans="1:26" s="24" customFormat="1" hidden="1" outlineLevel="2" x14ac:dyDescent="0.3">
      <c r="A61" s="27"/>
      <c r="B61" s="11" t="str">
        <f>CONCATENATE("          ", "6241", " - ", "OFFICE EXPENSE")</f>
        <v xml:space="preserve">          6241 - OFFICE EXPENSE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>
        <v>4.5</v>
      </c>
      <c r="Q61" s="2"/>
      <c r="R61" s="7">
        <f t="shared" si="50"/>
        <v>0</v>
      </c>
      <c r="S61" s="2"/>
      <c r="T61" s="6"/>
      <c r="U61" s="2"/>
      <c r="V61" s="7">
        <f t="shared" si="51"/>
        <v>0</v>
      </c>
      <c r="W61" s="2"/>
      <c r="X61" s="6">
        <f t="shared" si="52"/>
        <v>4.5</v>
      </c>
      <c r="Y61" s="2"/>
      <c r="Z61" s="7">
        <f t="shared" si="53"/>
        <v>0</v>
      </c>
    </row>
    <row r="62" spans="1:26" s="24" customFormat="1" hidden="1" outlineLevel="2" x14ac:dyDescent="0.3">
      <c r="A62" s="27"/>
      <c r="B62" s="11" t="str">
        <f>CONCATENATE("          ", "6247", " - ", "STORE SUPPLIES")</f>
        <v xml:space="preserve">          6247 - STORE SUPPLIES</v>
      </c>
      <c r="C62" s="11"/>
      <c r="D62" s="6"/>
      <c r="E62" s="2"/>
      <c r="F62" s="7">
        <f t="shared" si="46"/>
        <v>0</v>
      </c>
      <c r="G62" s="2"/>
      <c r="H62" s="6">
        <v>1200</v>
      </c>
      <c r="I62" s="2"/>
      <c r="J62" s="7">
        <f t="shared" si="47"/>
        <v>0.26696329254727474</v>
      </c>
      <c r="K62" s="2"/>
      <c r="L62" s="6">
        <f t="shared" si="48"/>
        <v>-1200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1200</v>
      </c>
      <c r="U62" s="2"/>
      <c r="V62" s="7">
        <f t="shared" si="51"/>
        <v>0.26696329254727474</v>
      </c>
      <c r="W62" s="2"/>
      <c r="X62" s="6">
        <f t="shared" si="52"/>
        <v>-1200</v>
      </c>
      <c r="Y62" s="2"/>
      <c r="Z62" s="7">
        <f t="shared" si="53"/>
        <v>-1</v>
      </c>
    </row>
    <row r="63" spans="1:26" s="28" customFormat="1" outlineLevel="1" collapsed="1" x14ac:dyDescent="0.3">
      <c r="A63" s="29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51.5</v>
      </c>
      <c r="E63" s="1"/>
      <c r="F63" s="5">
        <f t="shared" ref="F63:F66" si="54">IF(D$12=0,0,D63/D$12)</f>
        <v>0</v>
      </c>
      <c r="G63" s="1"/>
      <c r="H63" s="1">
        <f>SUM(OSRRefH22_10x_0)</f>
        <v>53</v>
      </c>
      <c r="I63" s="1"/>
      <c r="J63" s="5">
        <f t="shared" ref="J63:J66" si="55">IF(H$12=0,0,H63/H$12)</f>
        <v>1.1790878754171301E-2</v>
      </c>
      <c r="K63" s="1"/>
      <c r="L63" s="1">
        <f t="shared" ref="L63:L66" si="56">+D63-H63</f>
        <v>-1.5</v>
      </c>
      <c r="M63" s="1"/>
      <c r="N63" s="5">
        <f t="shared" ref="N63:N66" si="57">IF(H63=0,0,L63/H63)</f>
        <v>-2.8301886792452831E-2</v>
      </c>
      <c r="O63" s="14"/>
      <c r="P63" s="1">
        <f>SUM(OSRRefP22_10x_0)</f>
        <v>81</v>
      </c>
      <c r="Q63" s="1"/>
      <c r="R63" s="5">
        <f t="shared" ref="R63:R66" si="58">IF(P$12=0,0,P63/P$12)</f>
        <v>0</v>
      </c>
      <c r="S63" s="1"/>
      <c r="T63" s="1">
        <f>SUM(OSRRefT22_10x_0)</f>
        <v>106</v>
      </c>
      <c r="U63" s="1"/>
      <c r="V63" s="5">
        <f t="shared" ref="V63:V66" si="59">IF(T$12=0,0,T63/T$12)</f>
        <v>2.3581757508342602E-2</v>
      </c>
      <c r="W63" s="1"/>
      <c r="X63" s="1">
        <f t="shared" ref="X63:X66" si="60">+P63-T63</f>
        <v>-25</v>
      </c>
      <c r="Y63" s="1"/>
      <c r="Z63" s="5">
        <f t="shared" ref="Z63:Z66" si="61">IF(T63=0,0,X63/T63)</f>
        <v>-0.23584905660377359</v>
      </c>
    </row>
    <row r="64" spans="1:26" s="24" customFormat="1" hidden="1" outlineLevel="2" x14ac:dyDescent="0.3">
      <c r="A64" s="27"/>
      <c r="B64" s="11" t="str">
        <f>CONCATENATE("          ", "6309", " - ", "TELEPHONE")</f>
        <v xml:space="preserve">          6309 - TELEPHONE</v>
      </c>
      <c r="C64" s="11"/>
      <c r="D64" s="6">
        <v>51.5</v>
      </c>
      <c r="E64" s="2"/>
      <c r="F64" s="7">
        <f t="shared" si="54"/>
        <v>0</v>
      </c>
      <c r="G64" s="2"/>
      <c r="H64" s="6">
        <v>53</v>
      </c>
      <c r="I64" s="2"/>
      <c r="J64" s="7">
        <f t="shared" si="55"/>
        <v>1.1790878754171301E-2</v>
      </c>
      <c r="K64" s="2"/>
      <c r="L64" s="6">
        <f t="shared" si="56"/>
        <v>-1.5</v>
      </c>
      <c r="M64" s="2"/>
      <c r="N64" s="7">
        <f t="shared" si="57"/>
        <v>-2.8301886792452831E-2</v>
      </c>
      <c r="O64" s="11"/>
      <c r="P64" s="6">
        <v>81</v>
      </c>
      <c r="Q64" s="2"/>
      <c r="R64" s="7">
        <f t="shared" si="58"/>
        <v>0</v>
      </c>
      <c r="S64" s="2"/>
      <c r="T64" s="6">
        <v>106</v>
      </c>
      <c r="U64" s="2"/>
      <c r="V64" s="7">
        <f t="shared" si="59"/>
        <v>2.3581757508342602E-2</v>
      </c>
      <c r="W64" s="2"/>
      <c r="X64" s="6">
        <f t="shared" si="60"/>
        <v>-25</v>
      </c>
      <c r="Y64" s="2"/>
      <c r="Z64" s="7">
        <f t="shared" si="61"/>
        <v>-0.23584905660377359</v>
      </c>
    </row>
    <row r="65" spans="1:26" s="28" customFormat="1" outlineLevel="1" collapsed="1" x14ac:dyDescent="0.3">
      <c r="A65" s="29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SUM(OSRRefD22_11x_0)</f>
        <v>0</v>
      </c>
      <c r="E65" s="1"/>
      <c r="F65" s="5">
        <f t="shared" si="54"/>
        <v>0</v>
      </c>
      <c r="G65" s="1"/>
      <c r="H65" s="1">
        <f>SUM(OSRRefH22_11x_0)</f>
        <v>75</v>
      </c>
      <c r="I65" s="1"/>
      <c r="J65" s="5">
        <f t="shared" si="55"/>
        <v>1.6685205784204672E-2</v>
      </c>
      <c r="K65" s="1"/>
      <c r="L65" s="1">
        <f t="shared" si="56"/>
        <v>-75</v>
      </c>
      <c r="M65" s="1"/>
      <c r="N65" s="5">
        <f t="shared" si="57"/>
        <v>-1</v>
      </c>
      <c r="O65" s="14"/>
      <c r="P65" s="1">
        <f>SUM(OSRRefP22_11x_0)</f>
        <v>0</v>
      </c>
      <c r="Q65" s="1"/>
      <c r="R65" s="5">
        <f t="shared" si="58"/>
        <v>0</v>
      </c>
      <c r="S65" s="1"/>
      <c r="T65" s="1">
        <f>SUM(OSRRefT22_11x_0)</f>
        <v>75</v>
      </c>
      <c r="U65" s="1"/>
      <c r="V65" s="5">
        <f t="shared" si="59"/>
        <v>1.6685205784204672E-2</v>
      </c>
      <c r="W65" s="1"/>
      <c r="X65" s="1">
        <f t="shared" si="60"/>
        <v>-75</v>
      </c>
      <c r="Y65" s="1"/>
      <c r="Z65" s="5">
        <f t="shared" si="61"/>
        <v>-1</v>
      </c>
    </row>
    <row r="66" spans="1:26" s="24" customFormat="1" hidden="1" outlineLevel="2" x14ac:dyDescent="0.3">
      <c r="A66" s="27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54"/>
        <v>0</v>
      </c>
      <c r="G66" s="2"/>
      <c r="H66" s="6">
        <v>75</v>
      </c>
      <c r="I66" s="2"/>
      <c r="J66" s="7">
        <f t="shared" si="55"/>
        <v>1.6685205784204672E-2</v>
      </c>
      <c r="K66" s="2"/>
      <c r="L66" s="6">
        <f t="shared" si="56"/>
        <v>-75</v>
      </c>
      <c r="M66" s="2"/>
      <c r="N66" s="7">
        <f t="shared" si="57"/>
        <v>-1</v>
      </c>
      <c r="O66" s="11"/>
      <c r="P66" s="6"/>
      <c r="Q66" s="2"/>
      <c r="R66" s="7">
        <f t="shared" si="58"/>
        <v>0</v>
      </c>
      <c r="S66" s="2"/>
      <c r="T66" s="6">
        <v>75</v>
      </c>
      <c r="U66" s="2"/>
      <c r="V66" s="7">
        <f t="shared" si="59"/>
        <v>1.6685205784204672E-2</v>
      </c>
      <c r="W66" s="2"/>
      <c r="X66" s="6">
        <f t="shared" si="60"/>
        <v>-75</v>
      </c>
      <c r="Y66" s="2"/>
      <c r="Z66" s="7">
        <f t="shared" si="61"/>
        <v>-1</v>
      </c>
    </row>
    <row r="67" spans="1:26" s="53" customFormat="1" x14ac:dyDescent="0.3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3">
      <c r="A68" s="10"/>
      <c r="B68" s="25" t="s">
        <v>293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3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3">
      <c r="A70" s="10"/>
      <c r="B70" s="26" t="s">
        <v>277</v>
      </c>
      <c r="C70" s="26"/>
      <c r="D70" s="21">
        <f>+D19-D21+D68</f>
        <v>-2313.6099999999997</v>
      </c>
      <c r="E70" s="13"/>
      <c r="F70" s="20">
        <f>IF(D$12=0,0,D70/D$12)</f>
        <v>0</v>
      </c>
      <c r="G70" s="13"/>
      <c r="H70" s="21">
        <f>+H19-H21+H68</f>
        <v>-6058.3832249999996</v>
      </c>
      <c r="I70" s="13"/>
      <c r="J70" s="20">
        <f>IF(H$12=0,0,H70/H$12)</f>
        <v>-1.3478049443826472</v>
      </c>
      <c r="K70" s="16"/>
      <c r="L70" s="21">
        <f>+D70-H70</f>
        <v>3744.7732249999999</v>
      </c>
      <c r="M70" s="16"/>
      <c r="N70" s="20">
        <f>IF(H70=0,0,L70/H70)</f>
        <v>-0.61811428658839918</v>
      </c>
      <c r="O70" s="25"/>
      <c r="P70" s="21">
        <f>+P19-P21+P68</f>
        <v>-3498.12</v>
      </c>
      <c r="Q70" s="13"/>
      <c r="R70" s="20">
        <f>IF(P$12=0,0,P70/P$12)</f>
        <v>0</v>
      </c>
      <c r="S70" s="13"/>
      <c r="T70" s="21">
        <f>+T19-T21+T68</f>
        <v>-7451.3832249999996</v>
      </c>
      <c r="U70" s="13"/>
      <c r="V70" s="20">
        <f>IF(T$12=0,0,T70/T$12)</f>
        <v>-1.657704833147942</v>
      </c>
      <c r="W70" s="16"/>
      <c r="X70" s="21">
        <f>+P70-T70</f>
        <v>3953.2632249999997</v>
      </c>
      <c r="Y70" s="16"/>
      <c r="Z70" s="20">
        <f>IF(T70=0,0,X70/T70)</f>
        <v>-0.53054085471493118</v>
      </c>
    </row>
    <row r="71" spans="1:26" x14ac:dyDescent="0.3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">
      <c r="A72" s="52"/>
      <c r="B72" s="10" t="s">
        <v>128</v>
      </c>
      <c r="C72" s="10"/>
      <c r="D72" s="4"/>
      <c r="E72" s="4"/>
      <c r="F72" s="12">
        <f>IF(D$12=0,0,D72/D$12)</f>
        <v>0</v>
      </c>
      <c r="G72" s="4"/>
      <c r="H72" s="4">
        <v>503</v>
      </c>
      <c r="I72" s="4"/>
      <c r="J72" s="12">
        <f>IF(H$12=0,0,H72/H$12)</f>
        <v>0.11190211345939934</v>
      </c>
      <c r="K72" s="4"/>
      <c r="L72" s="4">
        <f>+D72-H72</f>
        <v>-503</v>
      </c>
      <c r="M72" s="4"/>
      <c r="N72" s="12">
        <f>IF(H72=0,0,L72/H72)</f>
        <v>-1</v>
      </c>
      <c r="O72" s="10"/>
      <c r="P72" s="4"/>
      <c r="Q72" s="4"/>
      <c r="R72" s="12">
        <f>IF(P$12=0,0,P72/P$12)</f>
        <v>0</v>
      </c>
      <c r="S72" s="4"/>
      <c r="T72" s="4">
        <v>503</v>
      </c>
      <c r="U72" s="4"/>
      <c r="V72" s="12">
        <f>IF(T$12=0,0,T72/T$12)</f>
        <v>0.11190211345939934</v>
      </c>
      <c r="W72" s="4"/>
      <c r="X72" s="4">
        <f>+P72-T72</f>
        <v>-503</v>
      </c>
      <c r="Y72" s="4"/>
      <c r="Z72" s="12">
        <f>IF(T72=0,0,X72/T72)</f>
        <v>-1</v>
      </c>
    </row>
    <row r="73" spans="1:26" x14ac:dyDescent="0.3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35">
      <c r="A74" s="10"/>
      <c r="B74" s="26" t="s">
        <v>126</v>
      </c>
      <c r="C74" s="26"/>
      <c r="D74" s="30">
        <f>+D70-D72</f>
        <v>-2313.6099999999997</v>
      </c>
      <c r="E74" s="13"/>
      <c r="F74" s="35">
        <f>IF(D$12=0,0,D74/D$12)</f>
        <v>0</v>
      </c>
      <c r="G74" s="13"/>
      <c r="H74" s="30">
        <f>+H70-H72</f>
        <v>-6561.3832249999996</v>
      </c>
      <c r="I74" s="13"/>
      <c r="J74" s="35">
        <f>IF(H$12=0,0,H74/H$12)</f>
        <v>-1.4597070578420466</v>
      </c>
      <c r="K74" s="16"/>
      <c r="L74" s="30">
        <f>D74-H74</f>
        <v>4247.7732249999999</v>
      </c>
      <c r="M74" s="16"/>
      <c r="N74" s="35">
        <f>IF(H74=0,0,L74/H74)</f>
        <v>-0.64738989925405555</v>
      </c>
      <c r="O74" s="25"/>
      <c r="P74" s="30">
        <f>+P70-P72</f>
        <v>-3498.12</v>
      </c>
      <c r="Q74" s="13"/>
      <c r="R74" s="35">
        <f>IF(P$12=0,0,P74/P$12)</f>
        <v>0</v>
      </c>
      <c r="S74" s="13"/>
      <c r="T74" s="30">
        <f>+T70-T72</f>
        <v>-7954.3832249999996</v>
      </c>
      <c r="U74" s="13"/>
      <c r="V74" s="35">
        <f>IF(T$12=0,0,T74/T$12)</f>
        <v>-1.7696069466073414</v>
      </c>
      <c r="W74" s="16"/>
      <c r="X74" s="30">
        <f>P74-T74</f>
        <v>4456.2632249999997</v>
      </c>
      <c r="Y74" s="16"/>
      <c r="Z74" s="35">
        <f>IF(T74=0,0,X74/T74)</f>
        <v>-0.56022737388290722</v>
      </c>
    </row>
    <row r="75" spans="1:26" ht="15" thickTop="1" x14ac:dyDescent="0.3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3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35">
      <c r="A77" s="10"/>
      <c r="B77" s="26" t="s">
        <v>294</v>
      </c>
      <c r="C77" s="26"/>
      <c r="D77" s="32">
        <f>SUM(D74:D76)</f>
        <v>-2313.6099999999997</v>
      </c>
      <c r="E77" s="13"/>
      <c r="F77" s="34">
        <f>IF(D$12=0,0,D77/D$12)</f>
        <v>0</v>
      </c>
      <c r="G77" s="13"/>
      <c r="H77" s="32">
        <f>SUM(H74:H76)</f>
        <v>-6561.3832249999996</v>
      </c>
      <c r="I77" s="13"/>
      <c r="J77" s="34">
        <f>IF(H$12=0,0,H77/H$12)</f>
        <v>-1.4597070578420466</v>
      </c>
      <c r="K77" s="16"/>
      <c r="L77" s="32">
        <f>+D77-H77</f>
        <v>4247.7732249999999</v>
      </c>
      <c r="M77" s="16"/>
      <c r="N77" s="34">
        <f>IF(H77=0,0,L77/H77)</f>
        <v>-0.64738989925405555</v>
      </c>
      <c r="O77" s="25"/>
      <c r="P77" s="32">
        <f>SUM(P74:P76)</f>
        <v>-3498.12</v>
      </c>
      <c r="Q77" s="13"/>
      <c r="R77" s="34">
        <f>IF(P$12=0,0,P77/P$12)</f>
        <v>0</v>
      </c>
      <c r="S77" s="13"/>
      <c r="T77" s="32">
        <f>SUM(T74:T76)</f>
        <v>-7954.3832249999996</v>
      </c>
      <c r="U77" s="13"/>
      <c r="V77" s="34">
        <f>IF(T$12=0,0,T77/T$12)</f>
        <v>-1.7696069466073414</v>
      </c>
      <c r="W77" s="16"/>
      <c r="X77" s="32">
        <f>+P77-T77</f>
        <v>4456.2632249999997</v>
      </c>
      <c r="Y77" s="16"/>
      <c r="Z77" s="34">
        <f>IF(T77=0,0,X77/T77)</f>
        <v>-0.56022737388290722</v>
      </c>
    </row>
    <row r="78" spans="1:26" ht="15" thickTop="1" x14ac:dyDescent="0.3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3">
      <c r="A79" s="9"/>
      <c r="B79" s="61">
        <v>44470.835499687499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3">
      <c r="A80" s="9"/>
      <c r="B80" s="58" t="s">
        <v>56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3">
      <c r="A81" s="9"/>
      <c r="B81" s="55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","325", " - ", "Outpost C-Store")</f>
        <v>Department 325 - Outpost C-Store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6534.79</v>
      </c>
      <c r="E12" s="4"/>
      <c r="F12" s="12"/>
      <c r="G12" s="4"/>
      <c r="H12" s="4">
        <f>SUM(OSRRefH13x_0)</f>
        <v>7994</v>
      </c>
      <c r="I12" s="4"/>
      <c r="J12" s="12"/>
      <c r="K12" s="4"/>
      <c r="L12" s="4">
        <f t="shared" ref="L12:L14" si="0">+D12-H12</f>
        <v>-1459.21</v>
      </c>
      <c r="M12" s="4"/>
      <c r="N12" s="12">
        <f t="shared" ref="N12:N14" si="1">IF(H12=0,0,L12/H12)</f>
        <v>-0.18253815361521142</v>
      </c>
      <c r="O12" s="10"/>
      <c r="P12" s="4">
        <f>SUM(OSRRefP13x_0)</f>
        <v>6534.79</v>
      </c>
      <c r="Q12" s="4"/>
      <c r="R12" s="12"/>
      <c r="S12" s="4"/>
      <c r="T12" s="4">
        <f>SUM(OSRRefT13x_0)</f>
        <v>7994</v>
      </c>
      <c r="U12" s="4"/>
      <c r="V12" s="12"/>
      <c r="W12" s="4"/>
      <c r="X12" s="4">
        <f t="shared" ref="X12:X14" si="2">+P12-T12</f>
        <v>-1459.21</v>
      </c>
      <c r="Y12" s="4"/>
      <c r="Z12" s="12">
        <f t="shared" ref="Z12:Z14" si="3">IF(T12=0,0,X12/T12)</f>
        <v>-0.18253815361521142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--1234.92</f>
        <v>1234.92</v>
      </c>
      <c r="E13" s="2"/>
      <c r="F13" s="19"/>
      <c r="G13" s="2"/>
      <c r="H13" s="2">
        <v>1417</v>
      </c>
      <c r="I13" s="2"/>
      <c r="J13" s="19"/>
      <c r="K13" s="2"/>
      <c r="L13" s="2">
        <f t="shared" si="0"/>
        <v>-182.07999999999993</v>
      </c>
      <c r="M13" s="2"/>
      <c r="N13" s="19">
        <f t="shared" si="1"/>
        <v>-0.12849682427664075</v>
      </c>
      <c r="O13" s="11"/>
      <c r="P13" s="2">
        <f>--1234.92</f>
        <v>1234.92</v>
      </c>
      <c r="Q13" s="2"/>
      <c r="R13" s="19"/>
      <c r="S13" s="2"/>
      <c r="T13" s="2">
        <v>1417</v>
      </c>
      <c r="U13" s="2"/>
      <c r="V13" s="19"/>
      <c r="W13" s="2"/>
      <c r="X13" s="2">
        <f t="shared" si="2"/>
        <v>-182.07999999999993</v>
      </c>
      <c r="Y13" s="2"/>
      <c r="Z13" s="19">
        <f t="shared" si="3"/>
        <v>-0.12849682427664075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--5299.87</f>
        <v>5299.87</v>
      </c>
      <c r="E14" s="2"/>
      <c r="F14" s="19"/>
      <c r="G14" s="2"/>
      <c r="H14" s="2">
        <v>6577</v>
      </c>
      <c r="I14" s="2"/>
      <c r="J14" s="19"/>
      <c r="K14" s="2"/>
      <c r="L14" s="2">
        <f t="shared" si="0"/>
        <v>-1277.1300000000001</v>
      </c>
      <c r="M14" s="2"/>
      <c r="N14" s="19">
        <f t="shared" si="1"/>
        <v>-0.19418123764634335</v>
      </c>
      <c r="O14" s="11"/>
      <c r="P14" s="2">
        <f>--5299.87</f>
        <v>5299.87</v>
      </c>
      <c r="Q14" s="2"/>
      <c r="R14" s="19"/>
      <c r="S14" s="2"/>
      <c r="T14" s="2">
        <v>6577</v>
      </c>
      <c r="U14" s="2"/>
      <c r="V14" s="19"/>
      <c r="W14" s="2"/>
      <c r="X14" s="2">
        <f t="shared" si="2"/>
        <v>-1277.1300000000001</v>
      </c>
      <c r="Y14" s="2"/>
      <c r="Z14" s="19">
        <f t="shared" si="3"/>
        <v>-0.19418123764634335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3201.5599999999995</v>
      </c>
      <c r="E16" s="4"/>
      <c r="F16" s="12">
        <f t="shared" ref="F16:F19" si="4">IF(D$12=0,0,D16/D$12)</f>
        <v>0.48992546049681773</v>
      </c>
      <c r="G16" s="4"/>
      <c r="H16" s="4">
        <f>SUM(OSRRefH16x_0)</f>
        <v>3917</v>
      </c>
      <c r="I16" s="4"/>
      <c r="J16" s="12">
        <f t="shared" ref="J16:J19" si="5">IF(H$12=0,0,H16/H$12)</f>
        <v>0.48999249437077808</v>
      </c>
      <c r="K16" s="4"/>
      <c r="L16" s="4">
        <f t="shared" ref="L16:L19" si="6">+D16-H16</f>
        <v>-715.44000000000051</v>
      </c>
      <c r="M16" s="4"/>
      <c r="N16" s="12">
        <f t="shared" ref="N16:N19" si="7">IF(H16=0,0,L16/H16)</f>
        <v>-0.18264998723512907</v>
      </c>
      <c r="O16" s="10"/>
      <c r="P16" s="4">
        <f>SUM(OSRRefP16x_0)</f>
        <v>3201.5599999999995</v>
      </c>
      <c r="Q16" s="4"/>
      <c r="R16" s="12">
        <f t="shared" ref="R16:R19" si="8">IF(P$12=0,0,P16/P$12)</f>
        <v>0.48992546049681773</v>
      </c>
      <c r="S16" s="4"/>
      <c r="T16" s="4">
        <f>SUM(OSRRefT16x_0)</f>
        <v>3917</v>
      </c>
      <c r="U16" s="4"/>
      <c r="V16" s="12">
        <f t="shared" ref="V16:V19" si="9">IF(T$12=0,0,T16/T$12)</f>
        <v>0.48999249437077808</v>
      </c>
      <c r="W16" s="4"/>
      <c r="X16" s="4">
        <f t="shared" ref="X16:X19" si="10">+P16-T16</f>
        <v>-715.44000000000051</v>
      </c>
      <c r="Y16" s="4"/>
      <c r="Z16" s="12">
        <f t="shared" ref="Z16:Z19" si="11">IF(T16=0,0,X16/T16)</f>
        <v>-0.18264998723512907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3917</v>
      </c>
      <c r="I17" s="2"/>
      <c r="J17" s="19">
        <f t="shared" si="5"/>
        <v>0.48999249437077808</v>
      </c>
      <c r="K17" s="2"/>
      <c r="L17" s="2">
        <f t="shared" si="6"/>
        <v>-3917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3917</v>
      </c>
      <c r="U17" s="2"/>
      <c r="V17" s="19">
        <f t="shared" si="9"/>
        <v>0.48999249437077808</v>
      </c>
      <c r="W17" s="2"/>
      <c r="X17" s="2">
        <f t="shared" si="10"/>
        <v>-3917</v>
      </c>
      <c r="Y17" s="2"/>
      <c r="Z17" s="19">
        <f t="shared" si="11"/>
        <v>-1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14940.56</v>
      </c>
      <c r="E18" s="2"/>
      <c r="F18" s="19">
        <f t="shared" si="4"/>
        <v>2.2863106542061793</v>
      </c>
      <c r="G18" s="2"/>
      <c r="H18" s="2"/>
      <c r="I18" s="2"/>
      <c r="J18" s="19">
        <f t="shared" si="5"/>
        <v>0</v>
      </c>
      <c r="K18" s="2"/>
      <c r="L18" s="2">
        <f t="shared" si="6"/>
        <v>14940.56</v>
      </c>
      <c r="M18" s="2"/>
      <c r="N18" s="19">
        <f t="shared" si="7"/>
        <v>0</v>
      </c>
      <c r="O18" s="11"/>
      <c r="P18" s="2">
        <v>14940.56</v>
      </c>
      <c r="Q18" s="2"/>
      <c r="R18" s="19">
        <f t="shared" si="8"/>
        <v>2.2863106542061793</v>
      </c>
      <c r="S18" s="2"/>
      <c r="T18" s="2"/>
      <c r="U18" s="2"/>
      <c r="V18" s="19">
        <f t="shared" si="9"/>
        <v>0</v>
      </c>
      <c r="W18" s="2"/>
      <c r="X18" s="2">
        <f t="shared" si="10"/>
        <v>14940.56</v>
      </c>
      <c r="Y18" s="2"/>
      <c r="Z18" s="19">
        <f t="shared" si="11"/>
        <v>0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-11739</v>
      </c>
      <c r="E19" s="2"/>
      <c r="F19" s="19">
        <f t="shared" si="4"/>
        <v>-1.7963851937093618</v>
      </c>
      <c r="G19" s="2"/>
      <c r="H19" s="2"/>
      <c r="I19" s="2"/>
      <c r="J19" s="19">
        <f t="shared" si="5"/>
        <v>0</v>
      </c>
      <c r="K19" s="2"/>
      <c r="L19" s="2">
        <f t="shared" si="6"/>
        <v>-11739</v>
      </c>
      <c r="M19" s="2"/>
      <c r="N19" s="19">
        <f t="shared" si="7"/>
        <v>0</v>
      </c>
      <c r="O19" s="11"/>
      <c r="P19" s="2">
        <v>-11739</v>
      </c>
      <c r="Q19" s="2"/>
      <c r="R19" s="19">
        <f t="shared" si="8"/>
        <v>-1.7963851937093618</v>
      </c>
      <c r="S19" s="2"/>
      <c r="T19" s="2"/>
      <c r="U19" s="2"/>
      <c r="V19" s="19">
        <f t="shared" si="9"/>
        <v>0</v>
      </c>
      <c r="W19" s="2"/>
      <c r="X19" s="2">
        <f t="shared" si="10"/>
        <v>-11739</v>
      </c>
      <c r="Y19" s="2"/>
      <c r="Z19" s="19">
        <f t="shared" si="11"/>
        <v>0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6" t="s">
        <v>108</v>
      </c>
      <c r="C21" s="26"/>
      <c r="D21" s="21">
        <f>D12-D16</f>
        <v>3333.2300000000005</v>
      </c>
      <c r="E21" s="13"/>
      <c r="F21" s="20">
        <f>IF(D$12=0,0,D21/D$12)</f>
        <v>0.51007453950318227</v>
      </c>
      <c r="G21" s="13"/>
      <c r="H21" s="21">
        <f>H12-H16</f>
        <v>4077</v>
      </c>
      <c r="I21" s="13"/>
      <c r="J21" s="20">
        <f>IF(H$12=0,0,H21/H$12)</f>
        <v>0.51000750562922192</v>
      </c>
      <c r="K21" s="16"/>
      <c r="L21" s="21">
        <f>+D21-H21</f>
        <v>-743.76999999999953</v>
      </c>
      <c r="M21" s="16"/>
      <c r="N21" s="20">
        <f>IF(H21=0,0,L21/H21)</f>
        <v>-0.18243070885454979</v>
      </c>
      <c r="O21" s="25"/>
      <c r="P21" s="21">
        <f>P12-P16</f>
        <v>3333.2300000000005</v>
      </c>
      <c r="Q21" s="13"/>
      <c r="R21" s="20">
        <f>IF(P$12=0,0,P21/P$12)</f>
        <v>0.51007453950318227</v>
      </c>
      <c r="S21" s="13"/>
      <c r="T21" s="21">
        <f>T12-T16</f>
        <v>4077</v>
      </c>
      <c r="U21" s="13"/>
      <c r="V21" s="20">
        <f>IF(T$12=0,0,T21/T$12)</f>
        <v>0.51000750562922192</v>
      </c>
      <c r="W21" s="16"/>
      <c r="X21" s="21">
        <f>+P21-T21</f>
        <v>-743.76999999999953</v>
      </c>
      <c r="Y21" s="16"/>
      <c r="Z21" s="20">
        <f>IF(T21=0,0,X21/T21)</f>
        <v>-0.18243070885454979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295</v>
      </c>
      <c r="C23" s="10"/>
      <c r="D23" s="22">
        <f>SUM(OSRRefD22x_0)</f>
        <v>24826.400000000001</v>
      </c>
      <c r="E23" s="22"/>
      <c r="F23" s="31">
        <f t="shared" ref="F23:F32" si="12">IF(D$12=0,0,D23/D$12)</f>
        <v>3.7991121367327798</v>
      </c>
      <c r="G23" s="22"/>
      <c r="H23" s="22">
        <f>SUM(OSRRefH22x_0)</f>
        <v>24093.04736230769</v>
      </c>
      <c r="I23" s="22"/>
      <c r="J23" s="31">
        <f t="shared" ref="J23:J32" si="13">IF(H$12=0,0,H23/H$12)</f>
        <v>3.0138913387925559</v>
      </c>
      <c r="K23" s="4"/>
      <c r="L23" s="22">
        <f t="shared" ref="L23:L32" si="14">+D23-H23</f>
        <v>733.35263769231096</v>
      </c>
      <c r="M23" s="4"/>
      <c r="N23" s="31">
        <f t="shared" ref="N23:N32" si="15">IF(H23=0,0,L23/H23)</f>
        <v>3.0438351224909919E-2</v>
      </c>
      <c r="O23" s="10"/>
      <c r="P23" s="22">
        <f>SUM(OSRRefP22x_0)</f>
        <v>34848.700000000004</v>
      </c>
      <c r="Q23" s="22"/>
      <c r="R23" s="31">
        <f t="shared" ref="R23:R32" si="16">IF(P$12=0,0,P23/P$12)</f>
        <v>5.3327956981020055</v>
      </c>
      <c r="S23" s="22"/>
      <c r="T23" s="22">
        <f>SUM(OSRRefT22x_0)</f>
        <v>44229.295877692304</v>
      </c>
      <c r="U23" s="22"/>
      <c r="V23" s="31">
        <f t="shared" ref="V23:V32" si="17">IF(T$12=0,0,T23/T$12)</f>
        <v>5.5328115934065929</v>
      </c>
      <c r="W23" s="4"/>
      <c r="X23" s="22">
        <f t="shared" ref="X23:X32" si="18">+P23-T23</f>
        <v>-9380.5958776922998</v>
      </c>
      <c r="Y23" s="4"/>
      <c r="Z23" s="31">
        <f t="shared" ref="Z23:Z32" si="19">IF(T23=0,0,X23/T23)</f>
        <v>-0.21209010208149259</v>
      </c>
    </row>
    <row r="24" spans="1:26" s="28" customFormat="1" outlineLevel="1" collapsed="1" x14ac:dyDescent="0.3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199.45000000000002</v>
      </c>
      <c r="E24" s="1"/>
      <c r="F24" s="5">
        <f t="shared" si="12"/>
        <v>3.0521256230116044E-2</v>
      </c>
      <c r="G24" s="1"/>
      <c r="H24" s="1">
        <f>SUM(OSRRefH22_0x_0)</f>
        <v>3728.408131538461</v>
      </c>
      <c r="I24" s="1"/>
      <c r="J24" s="5">
        <f t="shared" si="13"/>
        <v>0.46640081705509895</v>
      </c>
      <c r="K24" s="1"/>
      <c r="L24" s="1">
        <f t="shared" si="14"/>
        <v>-3528.9581315384612</v>
      </c>
      <c r="M24" s="1"/>
      <c r="N24" s="5">
        <f t="shared" si="15"/>
        <v>-0.94650531997480103</v>
      </c>
      <c r="O24" s="14"/>
      <c r="P24" s="1">
        <f>SUM(OSRRefP22_0x_0)</f>
        <v>199.45000000000002</v>
      </c>
      <c r="Q24" s="1"/>
      <c r="R24" s="5">
        <f t="shared" si="16"/>
        <v>3.0521256230116044E-2</v>
      </c>
      <c r="S24" s="1"/>
      <c r="T24" s="1">
        <f>SUM(OSRRefT22_0x_0)</f>
        <v>7455.1951084615375</v>
      </c>
      <c r="U24" s="1"/>
      <c r="V24" s="5">
        <f t="shared" si="17"/>
        <v>0.93259883768595664</v>
      </c>
      <c r="W24" s="1"/>
      <c r="X24" s="1">
        <f t="shared" si="18"/>
        <v>-7255.7451084615377</v>
      </c>
      <c r="Y24" s="1"/>
      <c r="Z24" s="5">
        <f t="shared" si="19"/>
        <v>-0.97324684369780923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6">
        <v>161.21</v>
      </c>
      <c r="E25" s="2"/>
      <c r="F25" s="7">
        <f t="shared" si="12"/>
        <v>2.4669499708483367E-2</v>
      </c>
      <c r="G25" s="2"/>
      <c r="H25" s="6">
        <v>433.31874692307701</v>
      </c>
      <c r="I25" s="2"/>
      <c r="J25" s="7">
        <f t="shared" si="13"/>
        <v>5.4205497488501002E-2</v>
      </c>
      <c r="K25" s="2"/>
      <c r="L25" s="6">
        <f t="shared" si="14"/>
        <v>-272.10874692307698</v>
      </c>
      <c r="M25" s="2"/>
      <c r="N25" s="7">
        <f t="shared" si="15"/>
        <v>-0.62796440000640419</v>
      </c>
      <c r="O25" s="11"/>
      <c r="P25" s="6">
        <v>161.21</v>
      </c>
      <c r="Q25" s="2"/>
      <c r="R25" s="7">
        <f t="shared" si="16"/>
        <v>2.4669499708483367E-2</v>
      </c>
      <c r="S25" s="2"/>
      <c r="T25" s="6">
        <v>875.95649307692304</v>
      </c>
      <c r="U25" s="2"/>
      <c r="V25" s="7">
        <f t="shared" si="17"/>
        <v>0.10957674419275995</v>
      </c>
      <c r="W25" s="2"/>
      <c r="X25" s="6">
        <f t="shared" si="18"/>
        <v>-714.746493076923</v>
      </c>
      <c r="Y25" s="2"/>
      <c r="Z25" s="7">
        <f t="shared" si="19"/>
        <v>-0.81596117926619083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6">
        <v>32.53</v>
      </c>
      <c r="E26" s="2"/>
      <c r="F26" s="7">
        <f t="shared" si="12"/>
        <v>4.9779717481357472E-3</v>
      </c>
      <c r="G26" s="2"/>
      <c r="H26" s="6">
        <v>322.83511538461499</v>
      </c>
      <c r="I26" s="2"/>
      <c r="J26" s="7">
        <f t="shared" si="13"/>
        <v>4.0384677931525517E-2</v>
      </c>
      <c r="K26" s="2"/>
      <c r="L26" s="6">
        <f t="shared" si="14"/>
        <v>-290.30511538461496</v>
      </c>
      <c r="M26" s="2"/>
      <c r="N26" s="7">
        <f t="shared" si="15"/>
        <v>-0.89923648807148848</v>
      </c>
      <c r="O26" s="11"/>
      <c r="P26" s="6">
        <v>32.53</v>
      </c>
      <c r="Q26" s="2"/>
      <c r="R26" s="7">
        <f t="shared" si="16"/>
        <v>4.9779717481357472E-3</v>
      </c>
      <c r="S26" s="2"/>
      <c r="T26" s="6">
        <v>542.04288461538397</v>
      </c>
      <c r="U26" s="2"/>
      <c r="V26" s="7">
        <f t="shared" si="17"/>
        <v>6.7806215238351758E-2</v>
      </c>
      <c r="W26" s="2"/>
      <c r="X26" s="6">
        <f t="shared" si="18"/>
        <v>-509.512884615384</v>
      </c>
      <c r="Y26" s="2"/>
      <c r="Z26" s="7">
        <f t="shared" si="19"/>
        <v>-0.93998629827401536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2"/>
        <v>0</v>
      </c>
      <c r="G27" s="2"/>
      <c r="H27" s="6">
        <v>1977</v>
      </c>
      <c r="I27" s="2"/>
      <c r="J27" s="7">
        <f t="shared" si="13"/>
        <v>0.2473104828621466</v>
      </c>
      <c r="K27" s="2"/>
      <c r="L27" s="6">
        <f t="shared" si="14"/>
        <v>-1977</v>
      </c>
      <c r="M27" s="2"/>
      <c r="N27" s="7">
        <f t="shared" si="15"/>
        <v>-1</v>
      </c>
      <c r="O27" s="11"/>
      <c r="P27" s="6"/>
      <c r="Q27" s="2"/>
      <c r="R27" s="7">
        <f t="shared" si="16"/>
        <v>0</v>
      </c>
      <c r="S27" s="2"/>
      <c r="T27" s="6">
        <v>3954</v>
      </c>
      <c r="U27" s="2"/>
      <c r="V27" s="7">
        <f t="shared" si="17"/>
        <v>0.4946209657242932</v>
      </c>
      <c r="W27" s="2"/>
      <c r="X27" s="6">
        <f t="shared" si="18"/>
        <v>-3954</v>
      </c>
      <c r="Y27" s="2"/>
      <c r="Z27" s="7">
        <f t="shared" si="19"/>
        <v>-1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>
        <v>5.71</v>
      </c>
      <c r="E28" s="2"/>
      <c r="F28" s="7">
        <f t="shared" si="12"/>
        <v>8.7378477349692955E-4</v>
      </c>
      <c r="G28" s="2"/>
      <c r="H28" s="6">
        <v>17.8879615384615</v>
      </c>
      <c r="I28" s="2"/>
      <c r="J28" s="7">
        <f t="shared" si="13"/>
        <v>2.2376734473932326E-3</v>
      </c>
      <c r="K28" s="2"/>
      <c r="L28" s="6">
        <f t="shared" si="14"/>
        <v>-12.177961538461499</v>
      </c>
      <c r="M28" s="2"/>
      <c r="N28" s="7">
        <f t="shared" si="15"/>
        <v>-0.68079090578751855</v>
      </c>
      <c r="O28" s="11"/>
      <c r="P28" s="6">
        <v>5.71</v>
      </c>
      <c r="Q28" s="2"/>
      <c r="R28" s="7">
        <f t="shared" si="16"/>
        <v>8.7378477349692955E-4</v>
      </c>
      <c r="S28" s="2"/>
      <c r="T28" s="6">
        <v>30.034038461538401</v>
      </c>
      <c r="U28" s="2"/>
      <c r="V28" s="7">
        <f t="shared" si="17"/>
        <v>3.7570726121514135E-3</v>
      </c>
      <c r="W28" s="2"/>
      <c r="X28" s="6">
        <f t="shared" si="18"/>
        <v>-24.3240384615384</v>
      </c>
      <c r="Y28" s="2"/>
      <c r="Z28" s="7">
        <f t="shared" si="19"/>
        <v>-0.80988237704655575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2"/>
        <v>0</v>
      </c>
      <c r="G29" s="2"/>
      <c r="H29" s="6">
        <v>397.928615384615</v>
      </c>
      <c r="I29" s="2"/>
      <c r="J29" s="7">
        <f t="shared" si="13"/>
        <v>4.9778410731125218E-2</v>
      </c>
      <c r="K29" s="2"/>
      <c r="L29" s="6">
        <f t="shared" si="14"/>
        <v>-397.928615384615</v>
      </c>
      <c r="M29" s="2"/>
      <c r="N29" s="7">
        <f t="shared" si="15"/>
        <v>-1</v>
      </c>
      <c r="O29" s="11"/>
      <c r="P29" s="6"/>
      <c r="Q29" s="2"/>
      <c r="R29" s="7">
        <f t="shared" si="16"/>
        <v>0</v>
      </c>
      <c r="S29" s="2"/>
      <c r="T29" s="6">
        <v>895.33938461538401</v>
      </c>
      <c r="U29" s="2"/>
      <c r="V29" s="7">
        <f t="shared" si="17"/>
        <v>0.11200142414503178</v>
      </c>
      <c r="W29" s="2"/>
      <c r="X29" s="6">
        <f t="shared" si="18"/>
        <v>-895.33938461538401</v>
      </c>
      <c r="Y29" s="2"/>
      <c r="Z29" s="7">
        <f t="shared" si="19"/>
        <v>-1</v>
      </c>
    </row>
    <row r="30" spans="1:26" s="24" customFormat="1" hidden="1" outlineLevel="2" x14ac:dyDescent="0.3">
      <c r="A30" s="27"/>
      <c r="B30" s="11" t="str">
        <f>CONCATENATE("          ", "6116", " - ", "EDUCATIONAL BENEFITS")</f>
        <v xml:space="preserve">          6116 - EDUCATIONAL BENEFITS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6"/>
      <c r="E31" s="2"/>
      <c r="F31" s="7">
        <f t="shared" si="12"/>
        <v>0</v>
      </c>
      <c r="G31" s="2"/>
      <c r="H31" s="6">
        <v>231.35384615384601</v>
      </c>
      <c r="I31" s="2"/>
      <c r="J31" s="7">
        <f t="shared" si="13"/>
        <v>2.8940936471584439E-2</v>
      </c>
      <c r="K31" s="2"/>
      <c r="L31" s="6">
        <f t="shared" si="14"/>
        <v>-231.35384615384601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520.54615384615397</v>
      </c>
      <c r="U31" s="2"/>
      <c r="V31" s="7">
        <f t="shared" si="17"/>
        <v>6.5117107061065049E-2</v>
      </c>
      <c r="W31" s="2"/>
      <c r="X31" s="6">
        <f t="shared" si="18"/>
        <v>-520.54615384615397</v>
      </c>
      <c r="Y31" s="2"/>
      <c r="Z31" s="7">
        <f t="shared" si="19"/>
        <v>-1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6"/>
      <c r="E32" s="2"/>
      <c r="F32" s="7">
        <f t="shared" si="12"/>
        <v>0</v>
      </c>
      <c r="G32" s="2"/>
      <c r="H32" s="6">
        <v>348.08384615384603</v>
      </c>
      <c r="I32" s="2"/>
      <c r="J32" s="7">
        <f t="shared" si="13"/>
        <v>4.3543138122822872E-2</v>
      </c>
      <c r="K32" s="2"/>
      <c r="L32" s="6">
        <f t="shared" si="14"/>
        <v>-348.08384615384603</v>
      </c>
      <c r="M32" s="2"/>
      <c r="N32" s="7">
        <f t="shared" si="15"/>
        <v>-1</v>
      </c>
      <c r="O32" s="11"/>
      <c r="P32" s="6"/>
      <c r="Q32" s="2"/>
      <c r="R32" s="7">
        <f t="shared" si="16"/>
        <v>0</v>
      </c>
      <c r="S32" s="2"/>
      <c r="T32" s="6">
        <v>637.27615384615399</v>
      </c>
      <c r="U32" s="2"/>
      <c r="V32" s="7">
        <f t="shared" si="17"/>
        <v>7.9719308712303483E-2</v>
      </c>
      <c r="W32" s="2"/>
      <c r="X32" s="6">
        <f t="shared" si="18"/>
        <v>-637.27615384615399</v>
      </c>
      <c r="Y32" s="2"/>
      <c r="Z32" s="7">
        <f t="shared" si="19"/>
        <v>-1</v>
      </c>
    </row>
    <row r="33" spans="1:26" s="28" customFormat="1" outlineLevel="1" collapsed="1" x14ac:dyDescent="0.3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3536.3599999999997</v>
      </c>
      <c r="E33" s="1"/>
      <c r="F33" s="5">
        <f t="shared" ref="F33:F43" si="20">IF(D$12=0,0,D33/D$12)</f>
        <v>0.54115893548224192</v>
      </c>
      <c r="G33" s="1"/>
      <c r="H33" s="1">
        <f>SUM(OSRRefH22_1x_0)</f>
        <v>7938.6392307692295</v>
      </c>
      <c r="I33" s="1"/>
      <c r="J33" s="5">
        <f t="shared" ref="J33:J43" si="21">IF(H$12=0,0,H33/H$12)</f>
        <v>0.99307470987856261</v>
      </c>
      <c r="K33" s="1"/>
      <c r="L33" s="1">
        <f t="shared" ref="L33:L43" si="22">+D33-H33</f>
        <v>-4402.2792307692298</v>
      </c>
      <c r="M33" s="1"/>
      <c r="N33" s="5">
        <f t="shared" ref="N33:N43" si="23">IF(H33=0,0,L33/H33)</f>
        <v>-0.55453826566478981</v>
      </c>
      <c r="O33" s="14"/>
      <c r="P33" s="1">
        <f>SUM(OSRRefP22_1x_0)</f>
        <v>3536.3599999999997</v>
      </c>
      <c r="Q33" s="1"/>
      <c r="R33" s="5">
        <f t="shared" ref="R33:R43" si="24">IF(P$12=0,0,P33/P$12)</f>
        <v>0.54115893548224192</v>
      </c>
      <c r="S33" s="1"/>
      <c r="T33" s="1">
        <f>SUM(OSRRefT22_1x_0)</f>
        <v>13144.10076923077</v>
      </c>
      <c r="U33" s="1"/>
      <c r="V33" s="5">
        <f t="shared" ref="V33:V43" si="25">IF(T$12=0,0,T33/T$12)</f>
        <v>1.6442457804892132</v>
      </c>
      <c r="W33" s="1"/>
      <c r="X33" s="1">
        <f t="shared" ref="X33:X43" si="26">+P33-T33</f>
        <v>-9607.7407692307715</v>
      </c>
      <c r="Y33" s="1"/>
      <c r="Z33" s="5">
        <f t="shared" ref="Z33:Z43" si="27">IF(T33=0,0,X33/T33)</f>
        <v>-0.73095458851941253</v>
      </c>
    </row>
    <row r="34" spans="1:26" s="24" customFormat="1" hidden="1" outlineLevel="2" x14ac:dyDescent="0.3">
      <c r="A34" s="27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6"/>
      <c r="E35" s="2"/>
      <c r="F35" s="7">
        <f t="shared" si="20"/>
        <v>0</v>
      </c>
      <c r="G35" s="2"/>
      <c r="H35" s="6">
        <v>4164.3692307692299</v>
      </c>
      <c r="I35" s="2"/>
      <c r="J35" s="7">
        <f t="shared" si="21"/>
        <v>0.52093685648852017</v>
      </c>
      <c r="K35" s="2"/>
      <c r="L35" s="6">
        <f t="shared" si="22"/>
        <v>-4164.3692307692299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9369.8307692307699</v>
      </c>
      <c r="U35" s="2"/>
      <c r="V35" s="7">
        <f t="shared" si="25"/>
        <v>1.1721079270991706</v>
      </c>
      <c r="W35" s="2"/>
      <c r="X35" s="6">
        <f t="shared" si="26"/>
        <v>-9369.8307692307699</v>
      </c>
      <c r="Y35" s="2"/>
      <c r="Z35" s="7">
        <f t="shared" si="27"/>
        <v>-1</v>
      </c>
    </row>
    <row r="36" spans="1:26" s="24" customFormat="1" hidden="1" outlineLevel="2" x14ac:dyDescent="0.3">
      <c r="A36" s="27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3">
      <c r="A37" s="27"/>
      <c r="B37" s="11" t="str">
        <f>CONCATENATE("          ", "6004", " - ", "STAFF HOURLY")</f>
        <v xml:space="preserve">          6004 - STAFF HOURLY</v>
      </c>
      <c r="C37" s="11"/>
      <c r="D37" s="6"/>
      <c r="E37" s="2"/>
      <c r="F37" s="7">
        <f t="shared" si="20"/>
        <v>0</v>
      </c>
      <c r="G37" s="2"/>
      <c r="H37" s="6">
        <v>1003.95</v>
      </c>
      <c r="I37" s="2"/>
      <c r="J37" s="7">
        <f t="shared" si="21"/>
        <v>0.12558794095571679</v>
      </c>
      <c r="K37" s="2"/>
      <c r="L37" s="6">
        <f t="shared" si="22"/>
        <v>-1003.95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1003.95</v>
      </c>
      <c r="U37" s="2"/>
      <c r="V37" s="7">
        <f t="shared" si="25"/>
        <v>0.12558794095571679</v>
      </c>
      <c r="W37" s="2"/>
      <c r="X37" s="6">
        <f t="shared" si="26"/>
        <v>-1003.95</v>
      </c>
      <c r="Y37" s="2"/>
      <c r="Z37" s="7">
        <f t="shared" si="27"/>
        <v>-1</v>
      </c>
    </row>
    <row r="38" spans="1:26" s="24" customFormat="1" hidden="1" outlineLevel="2" x14ac:dyDescent="0.3">
      <c r="A38" s="27"/>
      <c r="B38" s="11" t="str">
        <f>CONCATENATE("          ", "6005", " - ", "TEMPORARY WAGES-HOURLY")</f>
        <v xml:space="preserve">          6005 - TEMPORARY WAGES-HOURLY</v>
      </c>
      <c r="C38" s="11"/>
      <c r="D38" s="6">
        <v>1258.8</v>
      </c>
      <c r="E38" s="2"/>
      <c r="F38" s="7">
        <f t="shared" si="20"/>
        <v>0.1926305206441217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1258.8</v>
      </c>
      <c r="M38" s="2"/>
      <c r="N38" s="7">
        <f t="shared" si="23"/>
        <v>0</v>
      </c>
      <c r="O38" s="11"/>
      <c r="P38" s="6">
        <v>1258.8</v>
      </c>
      <c r="Q38" s="2"/>
      <c r="R38" s="7">
        <f t="shared" si="24"/>
        <v>0.1926305206441217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1258.8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"6007", " - ", "STUDENT HOURLY")</f>
        <v xml:space="preserve">          6007 - STUDENT HOURLY</v>
      </c>
      <c r="C40" s="11"/>
      <c r="D40" s="6">
        <v>2277.56</v>
      </c>
      <c r="E40" s="2"/>
      <c r="F40" s="7">
        <f t="shared" si="20"/>
        <v>0.34852841483812025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2277.56</v>
      </c>
      <c r="M40" s="2"/>
      <c r="N40" s="7">
        <f t="shared" si="23"/>
        <v>0</v>
      </c>
      <c r="O40" s="11"/>
      <c r="P40" s="6">
        <v>2277.56</v>
      </c>
      <c r="Q40" s="2"/>
      <c r="R40" s="7">
        <f t="shared" si="24"/>
        <v>0.34852841483812025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2277.56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0"/>
        <v>0</v>
      </c>
      <c r="G41" s="2"/>
      <c r="H41" s="6">
        <v>2770.32</v>
      </c>
      <c r="I41" s="2"/>
      <c r="J41" s="7">
        <f t="shared" si="21"/>
        <v>0.34654991243432576</v>
      </c>
      <c r="K41" s="2"/>
      <c r="L41" s="6">
        <f t="shared" si="22"/>
        <v>-2770.32</v>
      </c>
      <c r="M41" s="2"/>
      <c r="N41" s="7">
        <f t="shared" si="23"/>
        <v>-1</v>
      </c>
      <c r="O41" s="11"/>
      <c r="P41" s="6"/>
      <c r="Q41" s="2"/>
      <c r="R41" s="7">
        <f t="shared" si="24"/>
        <v>0</v>
      </c>
      <c r="S41" s="2"/>
      <c r="T41" s="6">
        <v>2770.32</v>
      </c>
      <c r="U41" s="2"/>
      <c r="V41" s="7">
        <f t="shared" si="25"/>
        <v>0.34654991243432576</v>
      </c>
      <c r="W41" s="2"/>
      <c r="X41" s="6">
        <f t="shared" si="26"/>
        <v>-2770.32</v>
      </c>
      <c r="Y41" s="2"/>
      <c r="Z41" s="7">
        <f t="shared" si="27"/>
        <v>-1</v>
      </c>
    </row>
    <row r="42" spans="1:26" s="24" customFormat="1" hidden="1" outlineLevel="2" x14ac:dyDescent="0.3">
      <c r="A42" s="27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8" customFormat="1" outlineLevel="1" collapsed="1" x14ac:dyDescent="0.3">
      <c r="A44" s="29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87.97</v>
      </c>
      <c r="E44" s="1"/>
      <c r="F44" s="5">
        <f t="shared" ref="F44:F52" si="28">IF(D$12=0,0,D44/D$12)</f>
        <v>1.3461794487657599E-2</v>
      </c>
      <c r="G44" s="1"/>
      <c r="H44" s="1">
        <f>SUM(OSRRefH22_2x_0)</f>
        <v>0</v>
      </c>
      <c r="I44" s="1"/>
      <c r="J44" s="5">
        <f t="shared" ref="J44:J52" si="29">IF(H$12=0,0,H44/H$12)</f>
        <v>0</v>
      </c>
      <c r="K44" s="1"/>
      <c r="L44" s="1">
        <f t="shared" ref="L44:L52" si="30">+D44-H44</f>
        <v>87.97</v>
      </c>
      <c r="M44" s="1"/>
      <c r="N44" s="5">
        <f t="shared" ref="N44:N52" si="31">IF(H44=0,0,L44/H44)</f>
        <v>0</v>
      </c>
      <c r="O44" s="14"/>
      <c r="P44" s="1">
        <f>SUM(OSRRefP22_2x_0)</f>
        <v>87.97</v>
      </c>
      <c r="Q44" s="1"/>
      <c r="R44" s="5">
        <f t="shared" ref="R44:R52" si="32">IF(P$12=0,0,P44/P$12)</f>
        <v>1.3461794487657599E-2</v>
      </c>
      <c r="S44" s="1"/>
      <c r="T44" s="1">
        <f>SUM(OSRRefT22_2x_0)</f>
        <v>0</v>
      </c>
      <c r="U44" s="1"/>
      <c r="V44" s="5">
        <f t="shared" ref="V44:V52" si="33">IF(T$12=0,0,T44/T$12)</f>
        <v>0</v>
      </c>
      <c r="W44" s="1"/>
      <c r="X44" s="1">
        <f t="shared" ref="X44:X52" si="34">+P44-T44</f>
        <v>87.97</v>
      </c>
      <c r="Y44" s="1"/>
      <c r="Z44" s="5">
        <f t="shared" ref="Z44:Z52" si="35">IF(T44=0,0,X44/T44)</f>
        <v>0</v>
      </c>
    </row>
    <row r="45" spans="1:26" s="24" customFormat="1" hidden="1" outlineLevel="2" x14ac:dyDescent="0.3">
      <c r="A45" s="27"/>
      <c r="B45" s="11" t="str">
        <f>CONCATENATE("          ", "6362", " - ", "ADVERTISING EXPENSE")</f>
        <v xml:space="preserve">          6362 - ADVERTISING EXPENSE</v>
      </c>
      <c r="C45" s="11"/>
      <c r="D45" s="6">
        <v>87.97</v>
      </c>
      <c r="E45" s="2"/>
      <c r="F45" s="7">
        <f t="shared" si="28"/>
        <v>1.3461794487657599E-2</v>
      </c>
      <c r="G45" s="2"/>
      <c r="H45" s="6"/>
      <c r="I45" s="2"/>
      <c r="J45" s="7">
        <f t="shared" si="29"/>
        <v>0</v>
      </c>
      <c r="K45" s="2"/>
      <c r="L45" s="6">
        <f t="shared" si="30"/>
        <v>87.97</v>
      </c>
      <c r="M45" s="2"/>
      <c r="N45" s="7">
        <f t="shared" si="31"/>
        <v>0</v>
      </c>
      <c r="O45" s="11"/>
      <c r="P45" s="6">
        <v>87.97</v>
      </c>
      <c r="Q45" s="2"/>
      <c r="R45" s="7">
        <f t="shared" si="32"/>
        <v>1.3461794487657599E-2</v>
      </c>
      <c r="S45" s="2"/>
      <c r="T45" s="6"/>
      <c r="U45" s="2"/>
      <c r="V45" s="7">
        <f t="shared" si="33"/>
        <v>0</v>
      </c>
      <c r="W45" s="2"/>
      <c r="X45" s="6">
        <f t="shared" si="34"/>
        <v>87.97</v>
      </c>
      <c r="Y45" s="2"/>
      <c r="Z45" s="7">
        <f t="shared" si="35"/>
        <v>0</v>
      </c>
    </row>
    <row r="46" spans="1:26" s="28" customFormat="1" outlineLevel="1" collapsed="1" x14ac:dyDescent="0.3">
      <c r="A46" s="29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-1.3</v>
      </c>
      <c r="E46" s="1"/>
      <c r="F46" s="5">
        <f t="shared" si="28"/>
        <v>-1.9893523739860042E-4</v>
      </c>
      <c r="G46" s="1"/>
      <c r="H46" s="1">
        <f>SUM(OSRRefH22_3x_0)</f>
        <v>0</v>
      </c>
      <c r="I46" s="1"/>
      <c r="J46" s="5">
        <f t="shared" si="29"/>
        <v>0</v>
      </c>
      <c r="K46" s="1"/>
      <c r="L46" s="1">
        <f t="shared" si="30"/>
        <v>-1.3</v>
      </c>
      <c r="M46" s="1"/>
      <c r="N46" s="5">
        <f t="shared" si="31"/>
        <v>0</v>
      </c>
      <c r="O46" s="14"/>
      <c r="P46" s="1">
        <f>SUM(OSRRefP22_3x_0)</f>
        <v>-1.3</v>
      </c>
      <c r="Q46" s="1"/>
      <c r="R46" s="5">
        <f t="shared" si="32"/>
        <v>-1.9893523739860042E-4</v>
      </c>
      <c r="S46" s="1"/>
      <c r="T46" s="1">
        <f>SUM(OSRRefT22_3x_0)</f>
        <v>0</v>
      </c>
      <c r="U46" s="1"/>
      <c r="V46" s="5">
        <f t="shared" si="33"/>
        <v>0</v>
      </c>
      <c r="W46" s="1"/>
      <c r="X46" s="1">
        <f t="shared" si="34"/>
        <v>-1.3</v>
      </c>
      <c r="Y46" s="1"/>
      <c r="Z46" s="5">
        <f t="shared" si="35"/>
        <v>0</v>
      </c>
    </row>
    <row r="47" spans="1:26" s="24" customFormat="1" hidden="1" outlineLevel="2" x14ac:dyDescent="0.3">
      <c r="A47" s="27"/>
      <c r="B47" s="11" t="str">
        <f>CONCATENATE("          ", "6272", " - ", "CASH (OVER/SHORT)")</f>
        <v xml:space="preserve">          6272 - CASH (OVER/SHORT)</v>
      </c>
      <c r="C47" s="11"/>
      <c r="D47" s="6">
        <v>-1.3</v>
      </c>
      <c r="E47" s="2"/>
      <c r="F47" s="7">
        <f t="shared" si="28"/>
        <v>-1.9893523739860042E-4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-1.3</v>
      </c>
      <c r="M47" s="2"/>
      <c r="N47" s="7">
        <f t="shared" si="31"/>
        <v>0</v>
      </c>
      <c r="O47" s="11"/>
      <c r="P47" s="6">
        <v>-1.3</v>
      </c>
      <c r="Q47" s="2"/>
      <c r="R47" s="7">
        <f t="shared" si="32"/>
        <v>-1.9893523739860042E-4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-1.3</v>
      </c>
      <c r="Y47" s="2"/>
      <c r="Z47" s="7">
        <f t="shared" si="35"/>
        <v>0</v>
      </c>
    </row>
    <row r="48" spans="1:26" s="28" customFormat="1" outlineLevel="1" collapsed="1" x14ac:dyDescent="0.3">
      <c r="A48" s="29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319.22000000000003</v>
      </c>
      <c r="E48" s="1"/>
      <c r="F48" s="5">
        <f t="shared" si="28"/>
        <v>4.8849312678754794E-2</v>
      </c>
      <c r="G48" s="1"/>
      <c r="H48" s="1">
        <f>SUM(OSRRefH22_4x_0)</f>
        <v>307</v>
      </c>
      <c r="I48" s="1"/>
      <c r="J48" s="5">
        <f t="shared" si="29"/>
        <v>3.8403802852139103E-2</v>
      </c>
      <c r="K48" s="1"/>
      <c r="L48" s="1">
        <f t="shared" si="30"/>
        <v>12.220000000000027</v>
      </c>
      <c r="M48" s="1"/>
      <c r="N48" s="5">
        <f t="shared" si="31"/>
        <v>3.9804560260586409E-2</v>
      </c>
      <c r="O48" s="14"/>
      <c r="P48" s="1">
        <f>SUM(OSRRefP22_4x_0)</f>
        <v>319.56</v>
      </c>
      <c r="Q48" s="1"/>
      <c r="R48" s="5">
        <f t="shared" si="32"/>
        <v>4.8901341894689809E-2</v>
      </c>
      <c r="S48" s="1"/>
      <c r="T48" s="1">
        <f>SUM(OSRRefT22_4x_0)</f>
        <v>307</v>
      </c>
      <c r="U48" s="1"/>
      <c r="V48" s="5">
        <f t="shared" si="33"/>
        <v>3.8403802852139103E-2</v>
      </c>
      <c r="W48" s="1"/>
      <c r="X48" s="1">
        <f t="shared" si="34"/>
        <v>12.560000000000002</v>
      </c>
      <c r="Y48" s="1"/>
      <c r="Z48" s="5">
        <f t="shared" si="35"/>
        <v>4.0912052117263849E-2</v>
      </c>
    </row>
    <row r="49" spans="1:26" s="24" customFormat="1" hidden="1" outlineLevel="2" x14ac:dyDescent="0.3">
      <c r="A49" s="27"/>
      <c r="B49" s="11" t="str">
        <f>CONCATENATE("          ", "6381", " - ", "BANK/CREDIT CARD FEES")</f>
        <v xml:space="preserve">          6381 - BANK/CREDIT CARD FEES</v>
      </c>
      <c r="C49" s="11"/>
      <c r="D49" s="6">
        <v>319.22000000000003</v>
      </c>
      <c r="E49" s="2"/>
      <c r="F49" s="7">
        <f t="shared" si="28"/>
        <v>4.8849312678754794E-2</v>
      </c>
      <c r="G49" s="2"/>
      <c r="H49" s="6">
        <v>307</v>
      </c>
      <c r="I49" s="2"/>
      <c r="J49" s="7">
        <f t="shared" si="29"/>
        <v>3.8403802852139103E-2</v>
      </c>
      <c r="K49" s="2"/>
      <c r="L49" s="6">
        <f t="shared" si="30"/>
        <v>12.220000000000027</v>
      </c>
      <c r="M49" s="2"/>
      <c r="N49" s="7">
        <f t="shared" si="31"/>
        <v>3.9804560260586409E-2</v>
      </c>
      <c r="O49" s="11"/>
      <c r="P49" s="6">
        <v>319.56</v>
      </c>
      <c r="Q49" s="2"/>
      <c r="R49" s="7">
        <f t="shared" si="32"/>
        <v>4.8901341894689809E-2</v>
      </c>
      <c r="S49" s="2"/>
      <c r="T49" s="6">
        <v>307</v>
      </c>
      <c r="U49" s="2"/>
      <c r="V49" s="7">
        <f t="shared" si="33"/>
        <v>3.8403802852139103E-2</v>
      </c>
      <c r="W49" s="2"/>
      <c r="X49" s="6">
        <f t="shared" si="34"/>
        <v>12.560000000000002</v>
      </c>
      <c r="Y49" s="2"/>
      <c r="Z49" s="7">
        <f t="shared" si="35"/>
        <v>4.0912052117263849E-2</v>
      </c>
    </row>
    <row r="50" spans="1:26" s="28" customFormat="1" outlineLevel="1" collapsed="1" x14ac:dyDescent="0.3">
      <c r="A50" s="29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5471.21</v>
      </c>
      <c r="E50" s="1"/>
      <c r="F50" s="5">
        <f t="shared" si="28"/>
        <v>0.8372434309289204</v>
      </c>
      <c r="G50" s="1"/>
      <c r="H50" s="1">
        <f>SUM(OSRRefH22_5x_0)</f>
        <v>5471</v>
      </c>
      <c r="I50" s="1"/>
      <c r="J50" s="5">
        <f t="shared" si="29"/>
        <v>0.68438829121841382</v>
      </c>
      <c r="K50" s="1"/>
      <c r="L50" s="1">
        <f t="shared" si="30"/>
        <v>0.21000000000003638</v>
      </c>
      <c r="M50" s="1"/>
      <c r="N50" s="5">
        <f t="shared" si="31"/>
        <v>3.8384207640291792E-5</v>
      </c>
      <c r="O50" s="14"/>
      <c r="P50" s="1">
        <f>SUM(OSRRefP22_5x_0)</f>
        <v>10942.42</v>
      </c>
      <c r="Q50" s="1"/>
      <c r="R50" s="5">
        <f t="shared" si="32"/>
        <v>1.6744868618578408</v>
      </c>
      <c r="S50" s="1"/>
      <c r="T50" s="1">
        <f>SUM(OSRRefT22_5x_0)</f>
        <v>10942</v>
      </c>
      <c r="U50" s="1"/>
      <c r="V50" s="5">
        <f t="shared" si="33"/>
        <v>1.3687765824368276</v>
      </c>
      <c r="W50" s="1"/>
      <c r="X50" s="1">
        <f t="shared" si="34"/>
        <v>0.42000000000007276</v>
      </c>
      <c r="Y50" s="1"/>
      <c r="Z50" s="5">
        <f t="shared" si="35"/>
        <v>3.8384207640291792E-5</v>
      </c>
    </row>
    <row r="51" spans="1:26" s="24" customFormat="1" hidden="1" outlineLevel="2" x14ac:dyDescent="0.3">
      <c r="A51" s="27"/>
      <c r="B51" s="11" t="str">
        <f>CONCATENATE("          ", "6321", " - ", "BUILDING DEPRECIATION")</f>
        <v xml:space="preserve">          6321 - BUILDING DEPRECIATION</v>
      </c>
      <c r="C51" s="11"/>
      <c r="D51" s="6">
        <v>5080.51</v>
      </c>
      <c r="E51" s="2"/>
      <c r="F51" s="7">
        <f t="shared" si="28"/>
        <v>0.7774557407353565</v>
      </c>
      <c r="G51" s="2"/>
      <c r="H51" s="6"/>
      <c r="I51" s="2"/>
      <c r="J51" s="7">
        <f t="shared" si="29"/>
        <v>0</v>
      </c>
      <c r="K51" s="2"/>
      <c r="L51" s="6">
        <f t="shared" si="30"/>
        <v>5080.51</v>
      </c>
      <c r="M51" s="2"/>
      <c r="N51" s="7">
        <f t="shared" si="31"/>
        <v>0</v>
      </c>
      <c r="O51" s="11"/>
      <c r="P51" s="6">
        <v>10161.02</v>
      </c>
      <c r="Q51" s="2"/>
      <c r="R51" s="7">
        <f t="shared" si="32"/>
        <v>1.554911481470713</v>
      </c>
      <c r="S51" s="2"/>
      <c r="T51" s="6"/>
      <c r="U51" s="2"/>
      <c r="V51" s="7">
        <f t="shared" si="33"/>
        <v>0</v>
      </c>
      <c r="W51" s="2"/>
      <c r="X51" s="6">
        <f t="shared" si="34"/>
        <v>10161.02</v>
      </c>
      <c r="Y51" s="2"/>
      <c r="Z51" s="7">
        <f t="shared" si="35"/>
        <v>0</v>
      </c>
    </row>
    <row r="52" spans="1:26" s="24" customFormat="1" hidden="1" outlineLevel="2" x14ac:dyDescent="0.3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390.7</v>
      </c>
      <c r="E52" s="2"/>
      <c r="F52" s="7">
        <f t="shared" si="28"/>
        <v>5.9787690193563982E-2</v>
      </c>
      <c r="G52" s="2"/>
      <c r="H52" s="6">
        <v>5471</v>
      </c>
      <c r="I52" s="2"/>
      <c r="J52" s="7">
        <f t="shared" si="29"/>
        <v>0.68438829121841382</v>
      </c>
      <c r="K52" s="2"/>
      <c r="L52" s="6">
        <f t="shared" si="30"/>
        <v>-5080.3</v>
      </c>
      <c r="M52" s="2"/>
      <c r="N52" s="7">
        <f t="shared" si="31"/>
        <v>-0.92858709559495523</v>
      </c>
      <c r="O52" s="11"/>
      <c r="P52" s="6">
        <v>781.4</v>
      </c>
      <c r="Q52" s="2"/>
      <c r="R52" s="7">
        <f t="shared" si="32"/>
        <v>0.11957538038712796</v>
      </c>
      <c r="S52" s="2"/>
      <c r="T52" s="6">
        <v>10942</v>
      </c>
      <c r="U52" s="2"/>
      <c r="V52" s="7">
        <f t="shared" si="33"/>
        <v>1.3687765824368276</v>
      </c>
      <c r="W52" s="2"/>
      <c r="X52" s="6">
        <f t="shared" si="34"/>
        <v>-10160.6</v>
      </c>
      <c r="Y52" s="2"/>
      <c r="Z52" s="7">
        <f t="shared" si="35"/>
        <v>-0.92858709559495523</v>
      </c>
    </row>
    <row r="53" spans="1:26" s="28" customFormat="1" outlineLevel="1" collapsed="1" x14ac:dyDescent="0.3">
      <c r="A53" s="29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0</v>
      </c>
      <c r="E53" s="1"/>
      <c r="F53" s="5">
        <f t="shared" ref="F53:F63" si="36">IF(D$12=0,0,D53/D$12)</f>
        <v>0</v>
      </c>
      <c r="G53" s="1"/>
      <c r="H53" s="1">
        <f>SUM(OSRRefH22_6x_0)</f>
        <v>176</v>
      </c>
      <c r="I53" s="1"/>
      <c r="J53" s="5">
        <f t="shared" ref="J53:J63" si="37">IF(H$12=0,0,H53/H$12)</f>
        <v>2.2016512384288218E-2</v>
      </c>
      <c r="K53" s="1"/>
      <c r="L53" s="1">
        <f t="shared" ref="L53:L63" si="38">+D53-H53</f>
        <v>-176</v>
      </c>
      <c r="M53" s="1"/>
      <c r="N53" s="5">
        <f t="shared" ref="N53:N63" si="39">IF(H53=0,0,L53/H53)</f>
        <v>-1</v>
      </c>
      <c r="O53" s="14"/>
      <c r="P53" s="1">
        <f>SUM(OSRRefP22_6x_0)</f>
        <v>0</v>
      </c>
      <c r="Q53" s="1"/>
      <c r="R53" s="5">
        <f t="shared" ref="R53:R63" si="40">IF(P$12=0,0,P53/P$12)</f>
        <v>0</v>
      </c>
      <c r="S53" s="1"/>
      <c r="T53" s="1">
        <f>SUM(OSRRefT22_6x_0)</f>
        <v>352</v>
      </c>
      <c r="U53" s="1"/>
      <c r="V53" s="5">
        <f t="shared" ref="V53:V63" si="41">IF(T$12=0,0,T53/T$12)</f>
        <v>4.4033024768576436E-2</v>
      </c>
      <c r="W53" s="1"/>
      <c r="X53" s="1">
        <f t="shared" ref="X53:X63" si="42">+P53-T53</f>
        <v>-352</v>
      </c>
      <c r="Y53" s="1"/>
      <c r="Z53" s="5">
        <f t="shared" ref="Z53:Z63" si="43">IF(T53=0,0,X53/T53)</f>
        <v>-1</v>
      </c>
    </row>
    <row r="54" spans="1:26" s="24" customFormat="1" hidden="1" outlineLevel="2" x14ac:dyDescent="0.3">
      <c r="A54" s="27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36"/>
        <v>0</v>
      </c>
      <c r="G54" s="2"/>
      <c r="H54" s="6">
        <v>176</v>
      </c>
      <c r="I54" s="2"/>
      <c r="J54" s="7">
        <f t="shared" si="37"/>
        <v>2.2016512384288218E-2</v>
      </c>
      <c r="K54" s="2"/>
      <c r="L54" s="6">
        <f t="shared" si="38"/>
        <v>-176</v>
      </c>
      <c r="M54" s="2"/>
      <c r="N54" s="7">
        <f t="shared" si="39"/>
        <v>-1</v>
      </c>
      <c r="O54" s="11"/>
      <c r="P54" s="6"/>
      <c r="Q54" s="2"/>
      <c r="R54" s="7">
        <f t="shared" si="40"/>
        <v>0</v>
      </c>
      <c r="S54" s="2"/>
      <c r="T54" s="6">
        <v>352</v>
      </c>
      <c r="U54" s="2"/>
      <c r="V54" s="7">
        <f t="shared" si="41"/>
        <v>4.4033024768576436E-2</v>
      </c>
      <c r="W54" s="2"/>
      <c r="X54" s="6">
        <f t="shared" si="42"/>
        <v>-352</v>
      </c>
      <c r="Y54" s="2"/>
      <c r="Z54" s="7">
        <f t="shared" si="43"/>
        <v>-1</v>
      </c>
    </row>
    <row r="55" spans="1:26" s="28" customFormat="1" outlineLevel="1" collapsed="1" x14ac:dyDescent="0.3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842.45</v>
      </c>
      <c r="E55" s="1"/>
      <c r="F55" s="5">
        <f t="shared" si="36"/>
        <v>0.12891768518957764</v>
      </c>
      <c r="G55" s="1"/>
      <c r="H55" s="1">
        <f>SUM(OSRRefH22_7x_0)</f>
        <v>0</v>
      </c>
      <c r="I55" s="1"/>
      <c r="J55" s="5">
        <f t="shared" si="37"/>
        <v>0</v>
      </c>
      <c r="K55" s="1"/>
      <c r="L55" s="1">
        <f t="shared" si="38"/>
        <v>842.45</v>
      </c>
      <c r="M55" s="1"/>
      <c r="N55" s="5">
        <f t="shared" si="39"/>
        <v>0</v>
      </c>
      <c r="O55" s="14"/>
      <c r="P55" s="1">
        <f>SUM(OSRRefP22_7x_0)</f>
        <v>842.45</v>
      </c>
      <c r="Q55" s="1"/>
      <c r="R55" s="5">
        <f t="shared" si="40"/>
        <v>0.12891768518957764</v>
      </c>
      <c r="S55" s="1"/>
      <c r="T55" s="1">
        <f>SUM(OSRRefT22_7x_0)</f>
        <v>0</v>
      </c>
      <c r="U55" s="1"/>
      <c r="V55" s="5">
        <f t="shared" si="41"/>
        <v>0</v>
      </c>
      <c r="W55" s="1"/>
      <c r="X55" s="1">
        <f t="shared" si="42"/>
        <v>842.45</v>
      </c>
      <c r="Y55" s="1"/>
      <c r="Z55" s="5">
        <f t="shared" si="43"/>
        <v>0</v>
      </c>
    </row>
    <row r="56" spans="1:26" s="24" customFormat="1" hidden="1" outlineLevel="2" x14ac:dyDescent="0.3">
      <c r="A56" s="27"/>
      <c r="B56" s="11" t="str">
        <f>CONCATENATE("          ", "6279", " - ", "GENERAL EXPENSE")</f>
        <v xml:space="preserve">          6279 - GENERAL EXPENSE</v>
      </c>
      <c r="C56" s="11"/>
      <c r="D56" s="6">
        <v>842.45</v>
      </c>
      <c r="E56" s="2"/>
      <c r="F56" s="7">
        <f t="shared" si="36"/>
        <v>0.12891768518957764</v>
      </c>
      <c r="G56" s="2"/>
      <c r="H56" s="6"/>
      <c r="I56" s="2"/>
      <c r="J56" s="7">
        <f t="shared" si="37"/>
        <v>0</v>
      </c>
      <c r="K56" s="2"/>
      <c r="L56" s="6">
        <f t="shared" si="38"/>
        <v>842.45</v>
      </c>
      <c r="M56" s="2"/>
      <c r="N56" s="7">
        <f t="shared" si="39"/>
        <v>0</v>
      </c>
      <c r="O56" s="11"/>
      <c r="P56" s="6">
        <v>842.45</v>
      </c>
      <c r="Q56" s="2"/>
      <c r="R56" s="7">
        <f t="shared" si="40"/>
        <v>0.12891768518957764</v>
      </c>
      <c r="S56" s="2"/>
      <c r="T56" s="6"/>
      <c r="U56" s="2"/>
      <c r="V56" s="7">
        <f t="shared" si="41"/>
        <v>0</v>
      </c>
      <c r="W56" s="2"/>
      <c r="X56" s="6">
        <f t="shared" si="42"/>
        <v>842.45</v>
      </c>
      <c r="Y56" s="2"/>
      <c r="Z56" s="7">
        <f t="shared" si="43"/>
        <v>0</v>
      </c>
    </row>
    <row r="57" spans="1:26" s="28" customFormat="1" outlineLevel="1" collapsed="1" x14ac:dyDescent="0.3">
      <c r="A57" s="29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SUM(OSRRefD22_8x_0)</f>
        <v>331.01</v>
      </c>
      <c r="E57" s="1"/>
      <c r="F57" s="5">
        <f t="shared" si="36"/>
        <v>5.0653502254854404E-2</v>
      </c>
      <c r="G57" s="1"/>
      <c r="H57" s="1">
        <f>SUM(OSRRefH22_8x_0)</f>
        <v>330</v>
      </c>
      <c r="I57" s="1"/>
      <c r="J57" s="5">
        <f t="shared" si="37"/>
        <v>4.1280960720540404E-2</v>
      </c>
      <c r="K57" s="1"/>
      <c r="L57" s="1">
        <f t="shared" si="38"/>
        <v>1.0099999999999909</v>
      </c>
      <c r="M57" s="1"/>
      <c r="N57" s="5">
        <f t="shared" si="39"/>
        <v>3.0606060606060332E-3</v>
      </c>
      <c r="O57" s="14"/>
      <c r="P57" s="1">
        <f>SUM(OSRRefP22_8x_0)</f>
        <v>662.02</v>
      </c>
      <c r="Q57" s="1"/>
      <c r="R57" s="5">
        <f t="shared" si="40"/>
        <v>0.10130700450970881</v>
      </c>
      <c r="S57" s="1"/>
      <c r="T57" s="1">
        <f>SUM(OSRRefT22_8x_0)</f>
        <v>660</v>
      </c>
      <c r="U57" s="1"/>
      <c r="V57" s="5">
        <f t="shared" si="41"/>
        <v>8.2561921441080807E-2</v>
      </c>
      <c r="W57" s="1"/>
      <c r="X57" s="1">
        <f t="shared" si="42"/>
        <v>2.0199999999999818</v>
      </c>
      <c r="Y57" s="1"/>
      <c r="Z57" s="5">
        <f t="shared" si="43"/>
        <v>3.0606060606060332E-3</v>
      </c>
    </row>
    <row r="58" spans="1:26" s="24" customFormat="1" hidden="1" outlineLevel="2" x14ac:dyDescent="0.3">
      <c r="A58" s="27"/>
      <c r="B58" s="11" t="str">
        <f>CONCATENATE("          ", "6314", " - ", "LIABILITY INSURANCE")</f>
        <v xml:space="preserve">          6314 - LIABILITY INSURANCE</v>
      </c>
      <c r="C58" s="11"/>
      <c r="D58" s="6">
        <v>331.01</v>
      </c>
      <c r="E58" s="2"/>
      <c r="F58" s="7">
        <f t="shared" si="36"/>
        <v>5.0653502254854404E-2</v>
      </c>
      <c r="G58" s="2"/>
      <c r="H58" s="6">
        <v>330</v>
      </c>
      <c r="I58" s="2"/>
      <c r="J58" s="7">
        <f t="shared" si="37"/>
        <v>4.1280960720540404E-2</v>
      </c>
      <c r="K58" s="2"/>
      <c r="L58" s="6">
        <f t="shared" si="38"/>
        <v>1.0099999999999909</v>
      </c>
      <c r="M58" s="2"/>
      <c r="N58" s="7">
        <f t="shared" si="39"/>
        <v>3.0606060606060332E-3</v>
      </c>
      <c r="O58" s="11"/>
      <c r="P58" s="6">
        <v>662.02</v>
      </c>
      <c r="Q58" s="2"/>
      <c r="R58" s="7">
        <f t="shared" si="40"/>
        <v>0.10130700450970881</v>
      </c>
      <c r="S58" s="2"/>
      <c r="T58" s="6">
        <v>660</v>
      </c>
      <c r="U58" s="2"/>
      <c r="V58" s="7">
        <f t="shared" si="41"/>
        <v>8.2561921441080807E-2</v>
      </c>
      <c r="W58" s="2"/>
      <c r="X58" s="6">
        <f t="shared" si="42"/>
        <v>2.0199999999999818</v>
      </c>
      <c r="Y58" s="2"/>
      <c r="Z58" s="7">
        <f t="shared" si="43"/>
        <v>3.0606060606060332E-3</v>
      </c>
    </row>
    <row r="59" spans="1:26" s="28" customFormat="1" outlineLevel="1" collapsed="1" x14ac:dyDescent="0.3">
      <c r="A59" s="29"/>
      <c r="B59" s="14" t="str">
        <f>CONCATENATE("     ","Interest                                          ")</f>
        <v xml:space="preserve">     Interest                                          </v>
      </c>
      <c r="C59" s="14"/>
      <c r="D59" s="1">
        <f>SUM(OSRRefD22_9x_0)</f>
        <v>3905</v>
      </c>
      <c r="E59" s="1"/>
      <c r="F59" s="5">
        <f t="shared" si="36"/>
        <v>0.59757084772425739</v>
      </c>
      <c r="G59" s="1"/>
      <c r="H59" s="1">
        <f>SUM(OSRRefH22_9x_0)</f>
        <v>3905</v>
      </c>
      <c r="I59" s="1"/>
      <c r="J59" s="5">
        <f t="shared" si="37"/>
        <v>0.4884913685263948</v>
      </c>
      <c r="K59" s="1"/>
      <c r="L59" s="1">
        <f t="shared" si="38"/>
        <v>0</v>
      </c>
      <c r="M59" s="1"/>
      <c r="N59" s="5">
        <f t="shared" si="39"/>
        <v>0</v>
      </c>
      <c r="O59" s="14"/>
      <c r="P59" s="1">
        <f>SUM(OSRRefP22_9x_0)</f>
        <v>7810</v>
      </c>
      <c r="Q59" s="1"/>
      <c r="R59" s="5">
        <f t="shared" si="40"/>
        <v>1.1951416954485148</v>
      </c>
      <c r="S59" s="1"/>
      <c r="T59" s="1">
        <f>SUM(OSRRefT22_9x_0)</f>
        <v>7810</v>
      </c>
      <c r="U59" s="1"/>
      <c r="V59" s="5">
        <f t="shared" si="41"/>
        <v>0.9769827370527896</v>
      </c>
      <c r="W59" s="1"/>
      <c r="X59" s="1">
        <f t="shared" si="42"/>
        <v>0</v>
      </c>
      <c r="Y59" s="1"/>
      <c r="Z59" s="5">
        <f t="shared" si="43"/>
        <v>0</v>
      </c>
    </row>
    <row r="60" spans="1:26" s="24" customFormat="1" hidden="1" outlineLevel="2" x14ac:dyDescent="0.3">
      <c r="A60" s="27"/>
      <c r="B60" s="11" t="str">
        <f>CONCATENATE("          ", "6401", " - ", "INTEREST EXPENSE")</f>
        <v xml:space="preserve">          6401 - INTEREST EXPENSE</v>
      </c>
      <c r="C60" s="11"/>
      <c r="D60" s="6">
        <v>3905</v>
      </c>
      <c r="E60" s="2"/>
      <c r="F60" s="7">
        <f t="shared" si="36"/>
        <v>0.59757084772425739</v>
      </c>
      <c r="G60" s="2"/>
      <c r="H60" s="6">
        <v>3905</v>
      </c>
      <c r="I60" s="2"/>
      <c r="J60" s="7">
        <f t="shared" si="37"/>
        <v>0.4884913685263948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7810</v>
      </c>
      <c r="Q60" s="2"/>
      <c r="R60" s="7">
        <f t="shared" si="40"/>
        <v>1.1951416954485148</v>
      </c>
      <c r="S60" s="2"/>
      <c r="T60" s="6">
        <v>7810</v>
      </c>
      <c r="U60" s="2"/>
      <c r="V60" s="7">
        <f t="shared" si="41"/>
        <v>0.9769827370527896</v>
      </c>
      <c r="W60" s="2"/>
      <c r="X60" s="6">
        <f t="shared" si="42"/>
        <v>0</v>
      </c>
      <c r="Y60" s="2"/>
      <c r="Z60" s="7">
        <f t="shared" si="43"/>
        <v>0</v>
      </c>
    </row>
    <row r="61" spans="1:26" s="28" customFormat="1" outlineLevel="1" collapsed="1" x14ac:dyDescent="0.3">
      <c r="A61" s="29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SUM(OSRRefD22_10x_0)</f>
        <v>1922.99</v>
      </c>
      <c r="E61" s="1"/>
      <c r="F61" s="5">
        <f t="shared" si="36"/>
        <v>0.29426959397318048</v>
      </c>
      <c r="G61" s="1"/>
      <c r="H61" s="1">
        <f>SUM(OSRRefH22_10x_0)</f>
        <v>661</v>
      </c>
      <c r="I61" s="1"/>
      <c r="J61" s="5">
        <f t="shared" si="37"/>
        <v>8.268701526144609E-2</v>
      </c>
      <c r="K61" s="1"/>
      <c r="L61" s="1">
        <f t="shared" si="38"/>
        <v>1261.99</v>
      </c>
      <c r="M61" s="1"/>
      <c r="N61" s="5">
        <f t="shared" si="39"/>
        <v>1.909213313161876</v>
      </c>
      <c r="O61" s="14"/>
      <c r="P61" s="1">
        <f>SUM(OSRRefP22_10x_0)</f>
        <v>1922.99</v>
      </c>
      <c r="Q61" s="1"/>
      <c r="R61" s="5">
        <f t="shared" si="40"/>
        <v>0.29426959397318048</v>
      </c>
      <c r="S61" s="1"/>
      <c r="T61" s="1">
        <f>SUM(OSRRefT22_10x_0)</f>
        <v>1858</v>
      </c>
      <c r="U61" s="1"/>
      <c r="V61" s="5">
        <f t="shared" si="41"/>
        <v>0.23242431823867901</v>
      </c>
      <c r="W61" s="1"/>
      <c r="X61" s="1">
        <f t="shared" si="42"/>
        <v>64.990000000000009</v>
      </c>
      <c r="Y61" s="1"/>
      <c r="Z61" s="5">
        <f t="shared" si="43"/>
        <v>3.4978471474703988E-2</v>
      </c>
    </row>
    <row r="62" spans="1:26" s="24" customFormat="1" hidden="1" outlineLevel="2" x14ac:dyDescent="0.3">
      <c r="A62" s="27"/>
      <c r="B62" s="11" t="str">
        <f>CONCATENATE("          ", "6373", " - ", "MAINTENANCE CONTRACTS")</f>
        <v xml:space="preserve">          6373 - MAINTENANCE CONTRACTS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260</v>
      </c>
      <c r="U62" s="2"/>
      <c r="V62" s="7">
        <f t="shared" si="41"/>
        <v>3.2524393294971227E-2</v>
      </c>
      <c r="W62" s="2"/>
      <c r="X62" s="6">
        <f t="shared" si="42"/>
        <v>-260</v>
      </c>
      <c r="Y62" s="2"/>
      <c r="Z62" s="7">
        <f t="shared" si="43"/>
        <v>-1</v>
      </c>
    </row>
    <row r="63" spans="1:26" s="24" customFormat="1" hidden="1" outlineLevel="2" x14ac:dyDescent="0.3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1922.99</v>
      </c>
      <c r="E63" s="2"/>
      <c r="F63" s="7">
        <f t="shared" si="36"/>
        <v>0.29426959397318048</v>
      </c>
      <c r="G63" s="2"/>
      <c r="H63" s="6">
        <v>661</v>
      </c>
      <c r="I63" s="2"/>
      <c r="J63" s="7">
        <f t="shared" si="37"/>
        <v>8.268701526144609E-2</v>
      </c>
      <c r="K63" s="2"/>
      <c r="L63" s="6">
        <f t="shared" si="38"/>
        <v>1261.99</v>
      </c>
      <c r="M63" s="2"/>
      <c r="N63" s="7">
        <f t="shared" si="39"/>
        <v>1.909213313161876</v>
      </c>
      <c r="O63" s="11"/>
      <c r="P63" s="6">
        <v>1922.99</v>
      </c>
      <c r="Q63" s="2"/>
      <c r="R63" s="7">
        <f t="shared" si="40"/>
        <v>0.29426959397318048</v>
      </c>
      <c r="S63" s="2"/>
      <c r="T63" s="6">
        <v>1598</v>
      </c>
      <c r="U63" s="2"/>
      <c r="V63" s="7">
        <f t="shared" si="41"/>
        <v>0.19989992494370779</v>
      </c>
      <c r="W63" s="2"/>
      <c r="X63" s="6">
        <f t="shared" si="42"/>
        <v>324.99</v>
      </c>
      <c r="Y63" s="2"/>
      <c r="Z63" s="7">
        <f t="shared" si="43"/>
        <v>0.20337296620775971</v>
      </c>
    </row>
    <row r="64" spans="1:26" s="28" customFormat="1" outlineLevel="1" collapsed="1" x14ac:dyDescent="0.3">
      <c r="A64" s="29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SUM(OSRRefD22_11x_0)</f>
        <v>7397.9199999999992</v>
      </c>
      <c r="E64" s="1"/>
      <c r="F64" s="5">
        <f t="shared" ref="F64:F67" si="44">IF(D$12=0,0,D64/D$12)</f>
        <v>1.1320822857352721</v>
      </c>
      <c r="G64" s="1"/>
      <c r="H64" s="1">
        <f>SUM(OSRRefH22_11x_0)</f>
        <v>201</v>
      </c>
      <c r="I64" s="1"/>
      <c r="J64" s="5">
        <f t="shared" ref="J64:J67" si="45">IF(H$12=0,0,H64/H$12)</f>
        <v>2.5143857893420066E-2</v>
      </c>
      <c r="K64" s="1"/>
      <c r="L64" s="1">
        <f t="shared" ref="L64:L67" si="46">+D64-H64</f>
        <v>7196.9199999999992</v>
      </c>
      <c r="M64" s="1"/>
      <c r="N64" s="5">
        <f t="shared" ref="N64:N67" si="47">IF(H64=0,0,L64/H64)</f>
        <v>35.805572139303479</v>
      </c>
      <c r="O64" s="14"/>
      <c r="P64" s="1">
        <f>SUM(OSRRefP22_11x_0)</f>
        <v>7397.9199999999992</v>
      </c>
      <c r="Q64" s="1"/>
      <c r="R64" s="5">
        <f t="shared" ref="R64:R67" si="48">IF(P$12=0,0,P64/P$12)</f>
        <v>1.1320822857352721</v>
      </c>
      <c r="S64" s="1"/>
      <c r="T64" s="1">
        <f>SUM(OSRRefT22_11x_0)</f>
        <v>201</v>
      </c>
      <c r="U64" s="1"/>
      <c r="V64" s="5">
        <f t="shared" ref="V64:V67" si="49">IF(T$12=0,0,T64/T$12)</f>
        <v>2.5143857893420066E-2</v>
      </c>
      <c r="W64" s="1"/>
      <c r="X64" s="1">
        <f t="shared" ref="X64:X67" si="50">+P64-T64</f>
        <v>7196.9199999999992</v>
      </c>
      <c r="Y64" s="1"/>
      <c r="Z64" s="5">
        <f t="shared" ref="Z64:Z67" si="51">IF(T64=0,0,X64/T64)</f>
        <v>35.805572139303479</v>
      </c>
    </row>
    <row r="65" spans="1:26" s="24" customFormat="1" hidden="1" outlineLevel="2" x14ac:dyDescent="0.3">
      <c r="A65" s="27"/>
      <c r="B65" s="11" t="str">
        <f>CONCATENATE("          ", "6282", " - ", "JANITORIAL/EXTERMINATOR EXPENS")</f>
        <v xml:space="preserve">          6282 - JANITORIAL/EXTERMINATOR EXPENS</v>
      </c>
      <c r="C65" s="11"/>
      <c r="D65" s="6">
        <v>168.4</v>
      </c>
      <c r="E65" s="2"/>
      <c r="F65" s="7">
        <f t="shared" si="44"/>
        <v>2.5769764598403317E-2</v>
      </c>
      <c r="G65" s="2"/>
      <c r="H65" s="6">
        <v>158</v>
      </c>
      <c r="I65" s="2"/>
      <c r="J65" s="7">
        <f t="shared" si="45"/>
        <v>1.9764823617713284E-2</v>
      </c>
      <c r="K65" s="2"/>
      <c r="L65" s="6">
        <f t="shared" si="46"/>
        <v>10.400000000000006</v>
      </c>
      <c r="M65" s="2"/>
      <c r="N65" s="7">
        <f t="shared" si="47"/>
        <v>6.5822784810126614E-2</v>
      </c>
      <c r="O65" s="11"/>
      <c r="P65" s="6">
        <v>168.4</v>
      </c>
      <c r="Q65" s="2"/>
      <c r="R65" s="7">
        <f t="shared" si="48"/>
        <v>2.5769764598403317E-2</v>
      </c>
      <c r="S65" s="2"/>
      <c r="T65" s="6">
        <v>158</v>
      </c>
      <c r="U65" s="2"/>
      <c r="V65" s="7">
        <f t="shared" si="49"/>
        <v>1.9764823617713284E-2</v>
      </c>
      <c r="W65" s="2"/>
      <c r="X65" s="6">
        <f t="shared" si="50"/>
        <v>10.400000000000006</v>
      </c>
      <c r="Y65" s="2"/>
      <c r="Z65" s="7">
        <f t="shared" si="51"/>
        <v>6.5822784810126614E-2</v>
      </c>
    </row>
    <row r="66" spans="1:26" s="24" customFormat="1" hidden="1" outlineLevel="2" x14ac:dyDescent="0.3">
      <c r="A66" s="27"/>
      <c r="B66" s="11" t="str">
        <f>CONCATENATE("          ", "6285", " - ", "JANITORIAL SERVICES")</f>
        <v xml:space="preserve">          6285 - JANITORIAL SERVICES</v>
      </c>
      <c r="C66" s="11"/>
      <c r="D66" s="6">
        <v>7177.58</v>
      </c>
      <c r="E66" s="2"/>
      <c r="F66" s="7">
        <f t="shared" si="44"/>
        <v>1.0983642932672664</v>
      </c>
      <c r="G66" s="2"/>
      <c r="H66" s="6"/>
      <c r="I66" s="2"/>
      <c r="J66" s="7">
        <f t="shared" si="45"/>
        <v>0</v>
      </c>
      <c r="K66" s="2"/>
      <c r="L66" s="6">
        <f t="shared" si="46"/>
        <v>7177.58</v>
      </c>
      <c r="M66" s="2"/>
      <c r="N66" s="7">
        <f t="shared" si="47"/>
        <v>0</v>
      </c>
      <c r="O66" s="11"/>
      <c r="P66" s="6">
        <v>7177.58</v>
      </c>
      <c r="Q66" s="2"/>
      <c r="R66" s="7">
        <f t="shared" si="48"/>
        <v>1.0983642932672664</v>
      </c>
      <c r="S66" s="2"/>
      <c r="T66" s="6"/>
      <c r="U66" s="2"/>
      <c r="V66" s="7">
        <f t="shared" si="49"/>
        <v>0</v>
      </c>
      <c r="W66" s="2"/>
      <c r="X66" s="6">
        <f t="shared" si="50"/>
        <v>7177.58</v>
      </c>
      <c r="Y66" s="2"/>
      <c r="Z66" s="7">
        <f t="shared" si="51"/>
        <v>0</v>
      </c>
    </row>
    <row r="67" spans="1:26" s="24" customFormat="1" hidden="1" outlineLevel="2" x14ac:dyDescent="0.3">
      <c r="A67" s="27"/>
      <c r="B67" s="11" t="str">
        <f>CONCATENATE("          ", "6286", " - ", "LAUNDRY EXPENSE")</f>
        <v xml:space="preserve">          6286 - LAUNDRY EXPENSE</v>
      </c>
      <c r="C67" s="11"/>
      <c r="D67" s="6">
        <v>51.94</v>
      </c>
      <c r="E67" s="2"/>
      <c r="F67" s="7">
        <f t="shared" si="44"/>
        <v>7.9482278696025432E-3</v>
      </c>
      <c r="G67" s="2"/>
      <c r="H67" s="6">
        <v>43</v>
      </c>
      <c r="I67" s="2"/>
      <c r="J67" s="7">
        <f t="shared" si="45"/>
        <v>5.3790342757067799E-3</v>
      </c>
      <c r="K67" s="2"/>
      <c r="L67" s="6">
        <f t="shared" si="46"/>
        <v>8.9399999999999977</v>
      </c>
      <c r="M67" s="2"/>
      <c r="N67" s="7">
        <f t="shared" si="47"/>
        <v>0.20790697674418598</v>
      </c>
      <c r="O67" s="11"/>
      <c r="P67" s="6">
        <v>51.94</v>
      </c>
      <c r="Q67" s="2"/>
      <c r="R67" s="7">
        <f t="shared" si="48"/>
        <v>7.9482278696025432E-3</v>
      </c>
      <c r="S67" s="2"/>
      <c r="T67" s="6">
        <v>43</v>
      </c>
      <c r="U67" s="2"/>
      <c r="V67" s="7">
        <f t="shared" si="49"/>
        <v>5.3790342757067799E-3</v>
      </c>
      <c r="W67" s="2"/>
      <c r="X67" s="6">
        <f t="shared" si="50"/>
        <v>8.9399999999999977</v>
      </c>
      <c r="Y67" s="2"/>
      <c r="Z67" s="7">
        <f t="shared" si="51"/>
        <v>0.20790697674418598</v>
      </c>
    </row>
    <row r="68" spans="1:26" s="28" customFormat="1" outlineLevel="1" collapsed="1" x14ac:dyDescent="0.3">
      <c r="A68" s="29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SUM(OSRRefD22_12x_0)</f>
        <v>692.12</v>
      </c>
      <c r="E68" s="1"/>
      <c r="F68" s="5">
        <f t="shared" ref="F68:F73" si="52">IF(D$12=0,0,D68/D$12)</f>
        <v>0.10591312039101486</v>
      </c>
      <c r="G68" s="1"/>
      <c r="H68" s="1">
        <f>SUM(OSRRefH22_12x_0)</f>
        <v>1250</v>
      </c>
      <c r="I68" s="1"/>
      <c r="J68" s="5">
        <f t="shared" ref="J68:J73" si="53">IF(H$12=0,0,H68/H$12)</f>
        <v>0.15636727545659243</v>
      </c>
      <c r="K68" s="1"/>
      <c r="L68" s="1">
        <f t="shared" ref="L68:L73" si="54">+D68-H68</f>
        <v>-557.88</v>
      </c>
      <c r="M68" s="1"/>
      <c r="N68" s="5">
        <f t="shared" ref="N68:N73" si="55">IF(H68=0,0,L68/H68)</f>
        <v>-0.44630399999999998</v>
      </c>
      <c r="O68" s="14"/>
      <c r="P68" s="1">
        <f>SUM(OSRRefP22_12x_0)</f>
        <v>799.86</v>
      </c>
      <c r="Q68" s="1"/>
      <c r="R68" s="5">
        <f t="shared" ref="R68:R73" si="56">IF(P$12=0,0,P68/P$12)</f>
        <v>0.12240026075818811</v>
      </c>
      <c r="S68" s="1"/>
      <c r="T68" s="1">
        <f>SUM(OSRRefT22_12x_0)</f>
        <v>1250</v>
      </c>
      <c r="U68" s="1"/>
      <c r="V68" s="5">
        <f t="shared" ref="V68:V73" si="57">IF(T$12=0,0,T68/T$12)</f>
        <v>0.15636727545659243</v>
      </c>
      <c r="W68" s="1"/>
      <c r="X68" s="1">
        <f t="shared" ref="X68:X73" si="58">+P68-T68</f>
        <v>-450.14</v>
      </c>
      <c r="Y68" s="1"/>
      <c r="Z68" s="5">
        <f t="shared" ref="Z68:Z73" si="59">IF(T68=0,0,X68/T68)</f>
        <v>-0.36011199999999999</v>
      </c>
    </row>
    <row r="69" spans="1:26" s="24" customFormat="1" hidden="1" outlineLevel="2" x14ac:dyDescent="0.3">
      <c r="A69" s="27"/>
      <c r="B69" s="11" t="str">
        <f>CONCATENATE("          ", "6234", " - ", "EXPENDABLE SUPPLIES &amp; EQUIPMEN")</f>
        <v xml:space="preserve">          6234 - EXPENDABLE SUPPLIES &amp; EQUIPMEN</v>
      </c>
      <c r="C69" s="11"/>
      <c r="D69" s="6"/>
      <c r="E69" s="2"/>
      <c r="F69" s="7">
        <f t="shared" si="52"/>
        <v>0</v>
      </c>
      <c r="G69" s="2"/>
      <c r="H69" s="6">
        <v>200</v>
      </c>
      <c r="I69" s="2"/>
      <c r="J69" s="7">
        <f t="shared" si="53"/>
        <v>2.501876407305479E-2</v>
      </c>
      <c r="K69" s="2"/>
      <c r="L69" s="6">
        <f t="shared" si="54"/>
        <v>-200</v>
      </c>
      <c r="M69" s="2"/>
      <c r="N69" s="7">
        <f t="shared" si="55"/>
        <v>-1</v>
      </c>
      <c r="O69" s="11"/>
      <c r="P69" s="6"/>
      <c r="Q69" s="2"/>
      <c r="R69" s="7">
        <f t="shared" si="56"/>
        <v>0</v>
      </c>
      <c r="S69" s="2"/>
      <c r="T69" s="6">
        <v>200</v>
      </c>
      <c r="U69" s="2"/>
      <c r="V69" s="7">
        <f t="shared" si="57"/>
        <v>2.501876407305479E-2</v>
      </c>
      <c r="W69" s="2"/>
      <c r="X69" s="6">
        <f t="shared" si="58"/>
        <v>-200</v>
      </c>
      <c r="Y69" s="2"/>
      <c r="Z69" s="7">
        <f t="shared" si="59"/>
        <v>-1</v>
      </c>
    </row>
    <row r="70" spans="1:26" s="24" customFormat="1" hidden="1" outlineLevel="2" x14ac:dyDescent="0.3">
      <c r="A70" s="27"/>
      <c r="B70" s="11" t="str">
        <f>CONCATENATE("          ", "6237", " - ", "JANITORIAL SUPPLIES")</f>
        <v xml:space="preserve">          6237 - JANITORIAL SUPPLIES</v>
      </c>
      <c r="C70" s="11"/>
      <c r="D70" s="6">
        <v>369.62</v>
      </c>
      <c r="E70" s="2"/>
      <c r="F70" s="7">
        <f t="shared" si="52"/>
        <v>5.6561878805592838E-2</v>
      </c>
      <c r="G70" s="2"/>
      <c r="H70" s="6">
        <v>50</v>
      </c>
      <c r="I70" s="2"/>
      <c r="J70" s="7">
        <f t="shared" si="53"/>
        <v>6.2546910182636976E-3</v>
      </c>
      <c r="K70" s="2"/>
      <c r="L70" s="6">
        <f t="shared" si="54"/>
        <v>319.62</v>
      </c>
      <c r="M70" s="2"/>
      <c r="N70" s="7">
        <f t="shared" si="55"/>
        <v>6.3924000000000003</v>
      </c>
      <c r="O70" s="11"/>
      <c r="P70" s="6">
        <v>369.62</v>
      </c>
      <c r="Q70" s="2"/>
      <c r="R70" s="7">
        <f t="shared" si="56"/>
        <v>5.6561878805592838E-2</v>
      </c>
      <c r="S70" s="2"/>
      <c r="T70" s="6">
        <v>50</v>
      </c>
      <c r="U70" s="2"/>
      <c r="V70" s="7">
        <f t="shared" si="57"/>
        <v>6.2546910182636976E-3</v>
      </c>
      <c r="W70" s="2"/>
      <c r="X70" s="6">
        <f t="shared" si="58"/>
        <v>319.62</v>
      </c>
      <c r="Y70" s="2"/>
      <c r="Z70" s="7">
        <f t="shared" si="59"/>
        <v>6.3924000000000003</v>
      </c>
    </row>
    <row r="71" spans="1:26" s="24" customFormat="1" hidden="1" outlineLevel="2" x14ac:dyDescent="0.3">
      <c r="A71" s="27"/>
      <c r="B71" s="11" t="str">
        <f>CONCATENATE("          ", "6241", " - ", "OFFICE EXPENSE")</f>
        <v xml:space="preserve">          6241 - OFFICE EXPENSE</v>
      </c>
      <c r="C71" s="11"/>
      <c r="D71" s="6">
        <v>22.5</v>
      </c>
      <c r="E71" s="2"/>
      <c r="F71" s="7">
        <f t="shared" si="52"/>
        <v>3.4431098780526993E-3</v>
      </c>
      <c r="G71" s="2"/>
      <c r="H71" s="6"/>
      <c r="I71" s="2"/>
      <c r="J71" s="7">
        <f t="shared" si="53"/>
        <v>0</v>
      </c>
      <c r="K71" s="2"/>
      <c r="L71" s="6">
        <f t="shared" si="54"/>
        <v>22.5</v>
      </c>
      <c r="M71" s="2"/>
      <c r="N71" s="7">
        <f t="shared" si="55"/>
        <v>0</v>
      </c>
      <c r="O71" s="11"/>
      <c r="P71" s="6">
        <v>130.24</v>
      </c>
      <c r="Q71" s="2"/>
      <c r="R71" s="7">
        <f t="shared" si="56"/>
        <v>1.9930250245225937E-2</v>
      </c>
      <c r="S71" s="2"/>
      <c r="T71" s="6"/>
      <c r="U71" s="2"/>
      <c r="V71" s="7">
        <f t="shared" si="57"/>
        <v>0</v>
      </c>
      <c r="W71" s="2"/>
      <c r="X71" s="6">
        <f t="shared" si="58"/>
        <v>130.24</v>
      </c>
      <c r="Y71" s="2"/>
      <c r="Z71" s="7">
        <f t="shared" si="59"/>
        <v>0</v>
      </c>
    </row>
    <row r="72" spans="1:26" s="24" customFormat="1" hidden="1" outlineLevel="2" x14ac:dyDescent="0.3">
      <c r="A72" s="27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52"/>
        <v>0</v>
      </c>
      <c r="G72" s="2"/>
      <c r="H72" s="6">
        <v>200</v>
      </c>
      <c r="I72" s="2"/>
      <c r="J72" s="7">
        <f t="shared" si="53"/>
        <v>2.501876407305479E-2</v>
      </c>
      <c r="K72" s="2"/>
      <c r="L72" s="6">
        <f t="shared" si="54"/>
        <v>-200</v>
      </c>
      <c r="M72" s="2"/>
      <c r="N72" s="7">
        <f t="shared" si="55"/>
        <v>-1</v>
      </c>
      <c r="O72" s="11"/>
      <c r="P72" s="6"/>
      <c r="Q72" s="2"/>
      <c r="R72" s="7">
        <f t="shared" si="56"/>
        <v>0</v>
      </c>
      <c r="S72" s="2"/>
      <c r="T72" s="6">
        <v>200</v>
      </c>
      <c r="U72" s="2"/>
      <c r="V72" s="7">
        <f t="shared" si="57"/>
        <v>2.501876407305479E-2</v>
      </c>
      <c r="W72" s="2"/>
      <c r="X72" s="6">
        <f t="shared" si="58"/>
        <v>-200</v>
      </c>
      <c r="Y72" s="2"/>
      <c r="Z72" s="7">
        <f t="shared" si="59"/>
        <v>-1</v>
      </c>
    </row>
    <row r="73" spans="1:26" s="24" customFormat="1" hidden="1" outlineLevel="2" x14ac:dyDescent="0.3">
      <c r="A73" s="27"/>
      <c r="B73" s="11" t="str">
        <f>CONCATENATE("          ", "6247", " - ", "STORE SUPPLIES")</f>
        <v xml:space="preserve">          6247 - STORE SUPPLIES</v>
      </c>
      <c r="C73" s="11"/>
      <c r="D73" s="6">
        <v>300</v>
      </c>
      <c r="E73" s="2"/>
      <c r="F73" s="7">
        <f t="shared" si="52"/>
        <v>4.5908131707369328E-2</v>
      </c>
      <c r="G73" s="2"/>
      <c r="H73" s="6">
        <v>800</v>
      </c>
      <c r="I73" s="2"/>
      <c r="J73" s="7">
        <f t="shared" si="53"/>
        <v>0.10007505629221916</v>
      </c>
      <c r="K73" s="2"/>
      <c r="L73" s="6">
        <f t="shared" si="54"/>
        <v>-500</v>
      </c>
      <c r="M73" s="2"/>
      <c r="N73" s="7">
        <f t="shared" si="55"/>
        <v>-0.625</v>
      </c>
      <c r="O73" s="11"/>
      <c r="P73" s="6">
        <v>300</v>
      </c>
      <c r="Q73" s="2"/>
      <c r="R73" s="7">
        <f t="shared" si="56"/>
        <v>4.5908131707369328E-2</v>
      </c>
      <c r="S73" s="2"/>
      <c r="T73" s="6">
        <v>800</v>
      </c>
      <c r="U73" s="2"/>
      <c r="V73" s="7">
        <f t="shared" si="57"/>
        <v>0.10007505629221916</v>
      </c>
      <c r="W73" s="2"/>
      <c r="X73" s="6">
        <f t="shared" si="58"/>
        <v>-500</v>
      </c>
      <c r="Y73" s="2"/>
      <c r="Z73" s="7">
        <f t="shared" si="59"/>
        <v>-0.625</v>
      </c>
    </row>
    <row r="74" spans="1:26" s="28" customFormat="1" outlineLevel="1" collapsed="1" x14ac:dyDescent="0.3">
      <c r="A74" s="29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SUM(OSRRefD22_13x_0)</f>
        <v>22</v>
      </c>
      <c r="E74" s="1"/>
      <c r="F74" s="5">
        <f t="shared" ref="F74:F76" si="60">IF(D$12=0,0,D74/D$12)</f>
        <v>3.3665963252070838E-3</v>
      </c>
      <c r="G74" s="1"/>
      <c r="H74" s="1">
        <f>SUM(OSRRefH22_13x_0)</f>
        <v>125</v>
      </c>
      <c r="I74" s="1"/>
      <c r="J74" s="5">
        <f t="shared" ref="J74:J76" si="61">IF(H$12=0,0,H74/H$12)</f>
        <v>1.5636727545659243E-2</v>
      </c>
      <c r="K74" s="1"/>
      <c r="L74" s="1">
        <f t="shared" ref="L74:L76" si="62">+D74-H74</f>
        <v>-103</v>
      </c>
      <c r="M74" s="1"/>
      <c r="N74" s="5">
        <f t="shared" ref="N74:N76" si="63">IF(H74=0,0,L74/H74)</f>
        <v>-0.82399999999999995</v>
      </c>
      <c r="O74" s="14"/>
      <c r="P74" s="1">
        <f>SUM(OSRRefP22_13x_0)</f>
        <v>129</v>
      </c>
      <c r="Q74" s="1"/>
      <c r="R74" s="5">
        <f t="shared" ref="R74:R76" si="64">IF(P$12=0,0,P74/P$12)</f>
        <v>1.9740496634168811E-2</v>
      </c>
      <c r="S74" s="1"/>
      <c r="T74" s="1">
        <f>SUM(OSRRefT22_13x_0)</f>
        <v>250</v>
      </c>
      <c r="U74" s="1"/>
      <c r="V74" s="5">
        <f t="shared" ref="V74:V76" si="65">IF(T$12=0,0,T74/T$12)</f>
        <v>3.1273455091318486E-2</v>
      </c>
      <c r="W74" s="1"/>
      <c r="X74" s="1">
        <f t="shared" ref="X74:X76" si="66">+P74-T74</f>
        <v>-121</v>
      </c>
      <c r="Y74" s="1"/>
      <c r="Z74" s="5">
        <f t="shared" ref="Z74:Z76" si="67">IF(T74=0,0,X74/T74)</f>
        <v>-0.48399999999999999</v>
      </c>
    </row>
    <row r="75" spans="1:26" s="24" customFormat="1" hidden="1" outlineLevel="2" x14ac:dyDescent="0.3">
      <c r="A75" s="27"/>
      <c r="B75" s="11" t="str">
        <f>CONCATENATE("          ", "6303", " - ", "DATA PHONE LINES")</f>
        <v xml:space="preserve">          6303 - DATA PHONE LINES</v>
      </c>
      <c r="C75" s="11"/>
      <c r="D75" s="6"/>
      <c r="E75" s="2"/>
      <c r="F75" s="7">
        <f t="shared" si="60"/>
        <v>0</v>
      </c>
      <c r="G75" s="2"/>
      <c r="H75" s="6">
        <v>50</v>
      </c>
      <c r="I75" s="2"/>
      <c r="J75" s="7">
        <f t="shared" si="61"/>
        <v>6.2546910182636976E-3</v>
      </c>
      <c r="K75" s="2"/>
      <c r="L75" s="6">
        <f t="shared" si="62"/>
        <v>-50</v>
      </c>
      <c r="M75" s="2"/>
      <c r="N75" s="7">
        <f t="shared" si="63"/>
        <v>-1</v>
      </c>
      <c r="O75" s="11"/>
      <c r="P75" s="6"/>
      <c r="Q75" s="2"/>
      <c r="R75" s="7">
        <f t="shared" si="64"/>
        <v>0</v>
      </c>
      <c r="S75" s="2"/>
      <c r="T75" s="6">
        <v>100</v>
      </c>
      <c r="U75" s="2"/>
      <c r="V75" s="7">
        <f t="shared" si="65"/>
        <v>1.2509382036527395E-2</v>
      </c>
      <c r="W75" s="2"/>
      <c r="X75" s="6">
        <f t="shared" si="66"/>
        <v>-100</v>
      </c>
      <c r="Y75" s="2"/>
      <c r="Z75" s="7">
        <f t="shared" si="67"/>
        <v>-1</v>
      </c>
    </row>
    <row r="76" spans="1:26" s="24" customFormat="1" hidden="1" outlineLevel="2" x14ac:dyDescent="0.3">
      <c r="A76" s="27"/>
      <c r="B76" s="11" t="str">
        <f>CONCATENATE("          ", "6309", " - ", "TELEPHONE")</f>
        <v xml:space="preserve">          6309 - TELEPHONE</v>
      </c>
      <c r="C76" s="11"/>
      <c r="D76" s="6">
        <v>22</v>
      </c>
      <c r="E76" s="2"/>
      <c r="F76" s="7">
        <f t="shared" si="60"/>
        <v>3.3665963252070838E-3</v>
      </c>
      <c r="G76" s="2"/>
      <c r="H76" s="6">
        <v>75</v>
      </c>
      <c r="I76" s="2"/>
      <c r="J76" s="7">
        <f t="shared" si="61"/>
        <v>9.3820365273955472E-3</v>
      </c>
      <c r="K76" s="2"/>
      <c r="L76" s="6">
        <f t="shared" si="62"/>
        <v>-53</v>
      </c>
      <c r="M76" s="2"/>
      <c r="N76" s="7">
        <f t="shared" si="63"/>
        <v>-0.70666666666666667</v>
      </c>
      <c r="O76" s="11"/>
      <c r="P76" s="6">
        <v>129</v>
      </c>
      <c r="Q76" s="2"/>
      <c r="R76" s="7">
        <f t="shared" si="64"/>
        <v>1.9740496634168811E-2</v>
      </c>
      <c r="S76" s="2"/>
      <c r="T76" s="6">
        <v>150</v>
      </c>
      <c r="U76" s="2"/>
      <c r="V76" s="7">
        <f t="shared" si="65"/>
        <v>1.8764073054791094E-2</v>
      </c>
      <c r="W76" s="2"/>
      <c r="X76" s="6">
        <f t="shared" si="66"/>
        <v>-21</v>
      </c>
      <c r="Y76" s="2"/>
      <c r="Z76" s="7">
        <f t="shared" si="67"/>
        <v>-0.14000000000000001</v>
      </c>
    </row>
    <row r="77" spans="1:26" s="28" customFormat="1" outlineLevel="1" collapsed="1" x14ac:dyDescent="0.3">
      <c r="A77" s="29"/>
      <c r="B77" s="14" t="str">
        <f>CONCATENATE("     ","Utilities                                         ")</f>
        <v xml:space="preserve">     Utilities                                         </v>
      </c>
      <c r="C77" s="14"/>
      <c r="D77" s="1">
        <f>SUM(OSRRefD22_14x_0)</f>
        <v>100</v>
      </c>
      <c r="E77" s="1"/>
      <c r="F77" s="5">
        <f t="shared" ref="F77:F78" si="68">IF(D$12=0,0,D77/D$12)</f>
        <v>1.5302710569123109E-2</v>
      </c>
      <c r="G77" s="1"/>
      <c r="H77" s="1">
        <f>SUM(OSRRefH22_14x_0)</f>
        <v>0</v>
      </c>
      <c r="I77" s="1"/>
      <c r="J77" s="5">
        <f t="shared" ref="J77:J78" si="69">IF(H$12=0,0,H77/H$12)</f>
        <v>0</v>
      </c>
      <c r="K77" s="1"/>
      <c r="L77" s="1">
        <f t="shared" ref="L77:L78" si="70">+D77-H77</f>
        <v>100</v>
      </c>
      <c r="M77" s="1"/>
      <c r="N77" s="5">
        <f t="shared" ref="N77:N78" si="71">IF(H77=0,0,L77/H77)</f>
        <v>0</v>
      </c>
      <c r="O77" s="14"/>
      <c r="P77" s="1">
        <f>SUM(OSRRefP22_14x_0)</f>
        <v>200</v>
      </c>
      <c r="Q77" s="1"/>
      <c r="R77" s="5">
        <f t="shared" ref="R77:R78" si="72">IF(P$12=0,0,P77/P$12)</f>
        <v>3.0605421138246217E-2</v>
      </c>
      <c r="S77" s="1"/>
      <c r="T77" s="1">
        <f>SUM(OSRRefT22_14x_0)</f>
        <v>0</v>
      </c>
      <c r="U77" s="1"/>
      <c r="V77" s="5">
        <f t="shared" ref="V77:V78" si="73">IF(T$12=0,0,T77/T$12)</f>
        <v>0</v>
      </c>
      <c r="W77" s="1"/>
      <c r="X77" s="1">
        <f t="shared" ref="X77:X78" si="74">+P77-T77</f>
        <v>200</v>
      </c>
      <c r="Y77" s="1"/>
      <c r="Z77" s="5">
        <f t="shared" ref="Z77:Z78" si="75">IF(T77=0,0,X77/T77)</f>
        <v>0</v>
      </c>
    </row>
    <row r="78" spans="1:26" s="24" customFormat="1" hidden="1" outlineLevel="2" x14ac:dyDescent="0.3">
      <c r="A78" s="27"/>
      <c r="B78" s="11" t="str">
        <f>CONCATENATE("          ", "6274", " - ", "UTILITIES")</f>
        <v xml:space="preserve">          6274 - UTILITIES</v>
      </c>
      <c r="C78" s="11"/>
      <c r="D78" s="6">
        <v>100</v>
      </c>
      <c r="E78" s="2"/>
      <c r="F78" s="7">
        <f t="shared" si="68"/>
        <v>1.5302710569123109E-2</v>
      </c>
      <c r="G78" s="2"/>
      <c r="H78" s="6">
        <v>0</v>
      </c>
      <c r="I78" s="2"/>
      <c r="J78" s="7">
        <f t="shared" si="69"/>
        <v>0</v>
      </c>
      <c r="K78" s="2"/>
      <c r="L78" s="6">
        <f t="shared" si="70"/>
        <v>100</v>
      </c>
      <c r="M78" s="2"/>
      <c r="N78" s="7">
        <f t="shared" si="71"/>
        <v>0</v>
      </c>
      <c r="O78" s="11"/>
      <c r="P78" s="6">
        <v>200</v>
      </c>
      <c r="Q78" s="2"/>
      <c r="R78" s="7">
        <f t="shared" si="72"/>
        <v>3.0605421138246217E-2</v>
      </c>
      <c r="S78" s="2"/>
      <c r="T78" s="6">
        <v>0</v>
      </c>
      <c r="U78" s="2"/>
      <c r="V78" s="7">
        <f t="shared" si="73"/>
        <v>0</v>
      </c>
      <c r="W78" s="2"/>
      <c r="X78" s="6">
        <f t="shared" si="74"/>
        <v>200</v>
      </c>
      <c r="Y78" s="2"/>
      <c r="Z78" s="7">
        <f t="shared" si="75"/>
        <v>0</v>
      </c>
    </row>
    <row r="79" spans="1:26" s="53" customFormat="1" x14ac:dyDescent="0.3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3">
      <c r="A80" s="10"/>
      <c r="B80" s="25" t="s">
        <v>293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3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">
      <c r="A82" s="10"/>
      <c r="B82" s="26" t="s">
        <v>277</v>
      </c>
      <c r="C82" s="26"/>
      <c r="D82" s="21">
        <f>+D21-D23+D80</f>
        <v>-21493.170000000002</v>
      </c>
      <c r="E82" s="13"/>
      <c r="F82" s="20">
        <f>IF(D$12=0,0,D82/D$12)</f>
        <v>-3.2890375972295978</v>
      </c>
      <c r="G82" s="13"/>
      <c r="H82" s="21">
        <f>+H21-H23+H80</f>
        <v>-20016.04736230769</v>
      </c>
      <c r="I82" s="13"/>
      <c r="J82" s="20">
        <f>IF(H$12=0,0,H82/H$12)</f>
        <v>-2.503883833163334</v>
      </c>
      <c r="K82" s="16"/>
      <c r="L82" s="21">
        <f>+D82-H82</f>
        <v>-1477.1226376923114</v>
      </c>
      <c r="M82" s="16"/>
      <c r="N82" s="20">
        <f>IF(H82=0,0,L82/H82)</f>
        <v>7.3796919589323495E-2</v>
      </c>
      <c r="O82" s="25"/>
      <c r="P82" s="21">
        <f>+P21-P23+P80</f>
        <v>-31515.470000000005</v>
      </c>
      <c r="Q82" s="13"/>
      <c r="R82" s="20">
        <f>IF(P$12=0,0,P82/P$12)</f>
        <v>-4.8227211585988234</v>
      </c>
      <c r="S82" s="13"/>
      <c r="T82" s="21">
        <f>+T21-T23+T80</f>
        <v>-40152.295877692304</v>
      </c>
      <c r="U82" s="13"/>
      <c r="V82" s="20">
        <f>IF(T$12=0,0,T82/T$12)</f>
        <v>-5.022804087777371</v>
      </c>
      <c r="W82" s="16"/>
      <c r="X82" s="21">
        <f>+P82-T82</f>
        <v>8636.8258776922994</v>
      </c>
      <c r="Y82" s="16"/>
      <c r="Z82" s="20">
        <f>IF(T82=0,0,X82/T82)</f>
        <v>-0.21510166950355439</v>
      </c>
    </row>
    <row r="83" spans="1:26" x14ac:dyDescent="0.3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52"/>
      <c r="B84" s="10" t="s">
        <v>128</v>
      </c>
      <c r="C84" s="10"/>
      <c r="D84" s="4">
        <v>976.51</v>
      </c>
      <c r="E84" s="4"/>
      <c r="F84" s="12">
        <f>IF(D$12=0,0,D84/D$12)</f>
        <v>0.14943249897854408</v>
      </c>
      <c r="G84" s="4"/>
      <c r="H84" s="4">
        <v>895</v>
      </c>
      <c r="I84" s="4"/>
      <c r="J84" s="12">
        <f>IF(H$12=0,0,H84/H$12)</f>
        <v>0.1119589692269202</v>
      </c>
      <c r="K84" s="4"/>
      <c r="L84" s="4">
        <f>+D84-H84</f>
        <v>81.509999999999991</v>
      </c>
      <c r="M84" s="4"/>
      <c r="N84" s="12">
        <f>IF(H84=0,0,L84/H84)</f>
        <v>9.1072625698324014E-2</v>
      </c>
      <c r="O84" s="10"/>
      <c r="P84" s="4">
        <v>976.51</v>
      </c>
      <c r="Q84" s="4"/>
      <c r="R84" s="12">
        <f>IF(P$12=0,0,P84/P$12)</f>
        <v>0.14943249897854408</v>
      </c>
      <c r="S84" s="4"/>
      <c r="T84" s="4">
        <v>895</v>
      </c>
      <c r="U84" s="4"/>
      <c r="V84" s="12">
        <f>IF(T$12=0,0,T84/T$12)</f>
        <v>0.1119589692269202</v>
      </c>
      <c r="W84" s="4"/>
      <c r="X84" s="4">
        <f>+P84-T84</f>
        <v>81.509999999999991</v>
      </c>
      <c r="Y84" s="4"/>
      <c r="Z84" s="12">
        <f>IF(T84=0,0,X84/T84)</f>
        <v>9.1072625698324014E-2</v>
      </c>
    </row>
    <row r="85" spans="1:26" x14ac:dyDescent="0.3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6" t="s">
        <v>126</v>
      </c>
      <c r="C86" s="26"/>
      <c r="D86" s="30">
        <f>+D82-D84</f>
        <v>-22469.68</v>
      </c>
      <c r="E86" s="13"/>
      <c r="F86" s="35">
        <f>IF(D$12=0,0,D86/D$12)</f>
        <v>-3.4384700962081416</v>
      </c>
      <c r="G86" s="13"/>
      <c r="H86" s="30">
        <f>+H82-H84</f>
        <v>-20911.04736230769</v>
      </c>
      <c r="I86" s="13"/>
      <c r="J86" s="35">
        <f>IF(H$12=0,0,H86/H$12)</f>
        <v>-2.615842802390254</v>
      </c>
      <c r="K86" s="16"/>
      <c r="L86" s="30">
        <f>D86-H86</f>
        <v>-1558.6326376923098</v>
      </c>
      <c r="M86" s="16"/>
      <c r="N86" s="35">
        <f>IF(H86=0,0,L86/H86)</f>
        <v>7.4536325736689599E-2</v>
      </c>
      <c r="O86" s="25"/>
      <c r="P86" s="30">
        <f>+P82-P84</f>
        <v>-32491.980000000003</v>
      </c>
      <c r="Q86" s="13"/>
      <c r="R86" s="35">
        <f>IF(P$12=0,0,P86/P$12)</f>
        <v>-4.9721536575773673</v>
      </c>
      <c r="S86" s="13"/>
      <c r="T86" s="30">
        <f>+T82-T84</f>
        <v>-41047.295877692304</v>
      </c>
      <c r="U86" s="13"/>
      <c r="V86" s="35">
        <f>IF(T$12=0,0,T86/T$12)</f>
        <v>-5.1347630570042915</v>
      </c>
      <c r="W86" s="16"/>
      <c r="X86" s="30">
        <f>P86-T86</f>
        <v>8555.315877692301</v>
      </c>
      <c r="Y86" s="16"/>
      <c r="Z86" s="35">
        <f>IF(T86=0,0,X86/T86)</f>
        <v>-0.20842580966074797</v>
      </c>
    </row>
    <row r="87" spans="1:26" ht="15" thickTop="1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3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" thickBot="1" x14ac:dyDescent="0.35">
      <c r="A89" s="10"/>
      <c r="B89" s="26" t="s">
        <v>294</v>
      </c>
      <c r="C89" s="26"/>
      <c r="D89" s="32">
        <f>SUM(D86:D88)</f>
        <v>-22469.68</v>
      </c>
      <c r="E89" s="13"/>
      <c r="F89" s="34">
        <f>IF(D$12=0,0,D89/D$12)</f>
        <v>-3.4384700962081416</v>
      </c>
      <c r="G89" s="13"/>
      <c r="H89" s="32">
        <f>SUM(H86:H88)</f>
        <v>-20911.04736230769</v>
      </c>
      <c r="I89" s="13"/>
      <c r="J89" s="34">
        <f>IF(H$12=0,0,H89/H$12)</f>
        <v>-2.615842802390254</v>
      </c>
      <c r="K89" s="16"/>
      <c r="L89" s="32">
        <f>+D89-H89</f>
        <v>-1558.6326376923098</v>
      </c>
      <c r="M89" s="16"/>
      <c r="N89" s="34">
        <f>IF(H89=0,0,L89/H89)</f>
        <v>7.4536325736689599E-2</v>
      </c>
      <c r="O89" s="25"/>
      <c r="P89" s="32">
        <f>SUM(P86:P88)</f>
        <v>-32491.980000000003</v>
      </c>
      <c r="Q89" s="13"/>
      <c r="R89" s="34">
        <f>IF(P$12=0,0,P89/P$12)</f>
        <v>-4.9721536575773673</v>
      </c>
      <c r="S89" s="13"/>
      <c r="T89" s="32">
        <f>SUM(T86:T88)</f>
        <v>-41047.295877692304</v>
      </c>
      <c r="U89" s="13"/>
      <c r="V89" s="34">
        <f>IF(T$12=0,0,T89/T$12)</f>
        <v>-5.1347630570042915</v>
      </c>
      <c r="W89" s="16"/>
      <c r="X89" s="32">
        <f>+P89-T89</f>
        <v>8555.315877692301</v>
      </c>
      <c r="Y89" s="16"/>
      <c r="Z89" s="34">
        <f>IF(T89=0,0,X89/T89)</f>
        <v>-0.20842580966074797</v>
      </c>
    </row>
    <row r="90" spans="1:26" ht="15" thickTop="1" x14ac:dyDescent="0.3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61">
        <v>44470.835499687499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A92" s="9"/>
      <c r="B92" s="58" t="s">
        <v>56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A93" s="9"/>
      <c r="B93" s="55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218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","327", " - ", "C-Store Vending Machine(s)")</f>
        <v>Department 327 - C-Store Vending Machine(s)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130.35</v>
      </c>
      <c r="E12" s="4"/>
      <c r="F12" s="12"/>
      <c r="G12" s="4"/>
      <c r="H12" s="4">
        <f>SUM(OSRRefH13x_0)</f>
        <v>25</v>
      </c>
      <c r="I12" s="4"/>
      <c r="J12" s="12"/>
      <c r="K12" s="4"/>
      <c r="L12" s="4">
        <f t="shared" ref="L12:L14" si="0">+D12-H12</f>
        <v>105.35</v>
      </c>
      <c r="M12" s="4"/>
      <c r="N12" s="12">
        <f t="shared" ref="N12:N14" si="1">IF(H12=0,0,L12/H12)</f>
        <v>4.2139999999999995</v>
      </c>
      <c r="O12" s="10"/>
      <c r="P12" s="4">
        <f>SUM(OSRRefP13x_0)</f>
        <v>130.35</v>
      </c>
      <c r="Q12" s="4"/>
      <c r="R12" s="12"/>
      <c r="S12" s="4"/>
      <c r="T12" s="4">
        <f>SUM(OSRRefT13x_0)</f>
        <v>25</v>
      </c>
      <c r="U12" s="4"/>
      <c r="V12" s="12"/>
      <c r="W12" s="4"/>
      <c r="X12" s="4">
        <f t="shared" ref="X12:X14" si="2">+P12-T12</f>
        <v>105.35</v>
      </c>
      <c r="Y12" s="4"/>
      <c r="Z12" s="12">
        <f t="shared" ref="Z12:Z14" si="3">IF(T12=0,0,X12/T12)</f>
        <v>4.2139999999999995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25</v>
      </c>
      <c r="I13" s="2"/>
      <c r="J13" s="19"/>
      <c r="K13" s="2"/>
      <c r="L13" s="2">
        <f t="shared" si="0"/>
        <v>-25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25</v>
      </c>
      <c r="U13" s="2"/>
      <c r="V13" s="19"/>
      <c r="W13" s="2"/>
      <c r="X13" s="2">
        <f t="shared" si="2"/>
        <v>-25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--130.35</f>
        <v>130.35</v>
      </c>
      <c r="E14" s="2"/>
      <c r="F14" s="19"/>
      <c r="G14" s="2"/>
      <c r="H14" s="2"/>
      <c r="I14" s="2"/>
      <c r="J14" s="19"/>
      <c r="K14" s="2"/>
      <c r="L14" s="2">
        <f t="shared" si="0"/>
        <v>130.35</v>
      </c>
      <c r="M14" s="2"/>
      <c r="N14" s="19">
        <f t="shared" si="1"/>
        <v>0</v>
      </c>
      <c r="O14" s="11"/>
      <c r="P14" s="2">
        <f>--130.35</f>
        <v>130.35</v>
      </c>
      <c r="Q14" s="2"/>
      <c r="R14" s="19"/>
      <c r="S14" s="2"/>
      <c r="T14" s="2"/>
      <c r="U14" s="2"/>
      <c r="V14" s="19"/>
      <c r="W14" s="2"/>
      <c r="X14" s="2">
        <f t="shared" si="2"/>
        <v>130.35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45</v>
      </c>
      <c r="E16" s="4"/>
      <c r="F16" s="12">
        <f t="shared" ref="F16:F18" si="4">IF(D$12=0,0,D16/D$12)</f>
        <v>0.34522439585730724</v>
      </c>
      <c r="G16" s="4"/>
      <c r="H16" s="4">
        <f>SUM(OSRRefH16x_0)</f>
        <v>13</v>
      </c>
      <c r="I16" s="4"/>
      <c r="J16" s="12">
        <f t="shared" ref="J16:J18" si="5">IF(H$12=0,0,H16/H$12)</f>
        <v>0.52</v>
      </c>
      <c r="K16" s="4"/>
      <c r="L16" s="4">
        <f t="shared" ref="L16:L18" si="6">+D16-H16</f>
        <v>32</v>
      </c>
      <c r="M16" s="4"/>
      <c r="N16" s="12">
        <f t="shared" ref="N16:N18" si="7">IF(H16=0,0,L16/H16)</f>
        <v>2.4615384615384617</v>
      </c>
      <c r="O16" s="10"/>
      <c r="P16" s="4">
        <f>SUM(OSRRefP16x_0)</f>
        <v>45</v>
      </c>
      <c r="Q16" s="4"/>
      <c r="R16" s="12">
        <f t="shared" ref="R16:R18" si="8">IF(P$12=0,0,P16/P$12)</f>
        <v>0.34522439585730724</v>
      </c>
      <c r="S16" s="4"/>
      <c r="T16" s="4">
        <f>SUM(OSRRefT16x_0)</f>
        <v>13</v>
      </c>
      <c r="U16" s="4"/>
      <c r="V16" s="12">
        <f t="shared" ref="V16:V18" si="9">IF(T$12=0,0,T16/T$12)</f>
        <v>0.52</v>
      </c>
      <c r="W16" s="4"/>
      <c r="X16" s="4">
        <f t="shared" ref="X16:X18" si="10">+P16-T16</f>
        <v>32</v>
      </c>
      <c r="Y16" s="4"/>
      <c r="Z16" s="12">
        <f t="shared" ref="Z16:Z18" si="11">IF(T16=0,0,X16/T16)</f>
        <v>2.4615384615384617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13</v>
      </c>
      <c r="I17" s="2"/>
      <c r="J17" s="19">
        <f t="shared" si="5"/>
        <v>0.52</v>
      </c>
      <c r="K17" s="2"/>
      <c r="L17" s="2">
        <f t="shared" si="6"/>
        <v>-13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13</v>
      </c>
      <c r="U17" s="2"/>
      <c r="V17" s="19">
        <f t="shared" si="9"/>
        <v>0.52</v>
      </c>
      <c r="W17" s="2"/>
      <c r="X17" s="2">
        <f t="shared" si="10"/>
        <v>-13</v>
      </c>
      <c r="Y17" s="2"/>
      <c r="Z17" s="19">
        <f t="shared" si="11"/>
        <v>-1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45</v>
      </c>
      <c r="E18" s="2"/>
      <c r="F18" s="19">
        <f t="shared" si="4"/>
        <v>0.34522439585730724</v>
      </c>
      <c r="G18" s="2"/>
      <c r="H18" s="2"/>
      <c r="I18" s="2"/>
      <c r="J18" s="19">
        <f t="shared" si="5"/>
        <v>0</v>
      </c>
      <c r="K18" s="2"/>
      <c r="L18" s="2">
        <f t="shared" si="6"/>
        <v>45</v>
      </c>
      <c r="M18" s="2"/>
      <c r="N18" s="19">
        <f t="shared" si="7"/>
        <v>0</v>
      </c>
      <c r="O18" s="11"/>
      <c r="P18" s="2">
        <v>45</v>
      </c>
      <c r="Q18" s="2"/>
      <c r="R18" s="19">
        <f t="shared" si="8"/>
        <v>0.34522439585730724</v>
      </c>
      <c r="S18" s="2"/>
      <c r="T18" s="2"/>
      <c r="U18" s="2"/>
      <c r="V18" s="19">
        <f t="shared" si="9"/>
        <v>0</v>
      </c>
      <c r="W18" s="2"/>
      <c r="X18" s="2">
        <f t="shared" si="10"/>
        <v>45</v>
      </c>
      <c r="Y18" s="2"/>
      <c r="Z18" s="19">
        <f t="shared" si="11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108</v>
      </c>
      <c r="C20" s="26"/>
      <c r="D20" s="21">
        <f>D12-D16</f>
        <v>85.35</v>
      </c>
      <c r="E20" s="13"/>
      <c r="F20" s="20">
        <f>IF(D$12=0,0,D20/D$12)</f>
        <v>0.65477560414269276</v>
      </c>
      <c r="G20" s="13"/>
      <c r="H20" s="21">
        <f>H12-H16</f>
        <v>12</v>
      </c>
      <c r="I20" s="13"/>
      <c r="J20" s="20">
        <f>IF(H$12=0,0,H20/H$12)</f>
        <v>0.48</v>
      </c>
      <c r="K20" s="16"/>
      <c r="L20" s="21">
        <f>+D20-H20</f>
        <v>73.349999999999994</v>
      </c>
      <c r="M20" s="16"/>
      <c r="N20" s="20">
        <f>IF(H20=0,0,L20/H20)</f>
        <v>6.1124999999999998</v>
      </c>
      <c r="O20" s="25"/>
      <c r="P20" s="21">
        <f>P12-P16</f>
        <v>85.35</v>
      </c>
      <c r="Q20" s="13"/>
      <c r="R20" s="20">
        <f>IF(P$12=0,0,P20/P$12)</f>
        <v>0.65477560414269276</v>
      </c>
      <c r="S20" s="13"/>
      <c r="T20" s="21">
        <f>T12-T16</f>
        <v>12</v>
      </c>
      <c r="U20" s="13"/>
      <c r="V20" s="20">
        <f>IF(T$12=0,0,T20/T$12)</f>
        <v>0.48</v>
      </c>
      <c r="W20" s="16"/>
      <c r="X20" s="21">
        <f>+P20-T20</f>
        <v>73.349999999999994</v>
      </c>
      <c r="Y20" s="16"/>
      <c r="Z20" s="20">
        <f>IF(T20=0,0,X20/T20)</f>
        <v>6.1124999999999998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295</v>
      </c>
      <c r="C22" s="10"/>
      <c r="D22" s="22">
        <f>SUM(OSRRefD22x_0)</f>
        <v>0</v>
      </c>
      <c r="E22" s="22"/>
      <c r="F22" s="31">
        <f t="shared" ref="F22:F24" si="12">IF(D$12=0,0,D22/D$12)</f>
        <v>0</v>
      </c>
      <c r="G22" s="22"/>
      <c r="H22" s="22">
        <f>SUM(OSRRefH22x_0)</f>
        <v>2.25</v>
      </c>
      <c r="I22" s="22"/>
      <c r="J22" s="31">
        <f t="shared" ref="J22:J24" si="13">IF(H$12=0,0,H22/H$12)</f>
        <v>0.09</v>
      </c>
      <c r="K22" s="4"/>
      <c r="L22" s="22">
        <f t="shared" ref="L22:L24" si="14">+D22-H22</f>
        <v>-2.25</v>
      </c>
      <c r="M22" s="4"/>
      <c r="N22" s="31">
        <f t="shared" ref="N22:N24" si="15">IF(H22=0,0,L22/H22)</f>
        <v>-1</v>
      </c>
      <c r="O22" s="10"/>
      <c r="P22" s="22">
        <f>SUM(OSRRefP22x_0)</f>
        <v>0</v>
      </c>
      <c r="Q22" s="22"/>
      <c r="R22" s="31">
        <f t="shared" ref="R22:R24" si="16">IF(P$12=0,0,P22/P$12)</f>
        <v>0</v>
      </c>
      <c r="S22" s="22"/>
      <c r="T22" s="22">
        <f>SUM(OSRRefT22x_0)</f>
        <v>2.25</v>
      </c>
      <c r="U22" s="22"/>
      <c r="V22" s="31">
        <f t="shared" ref="V22:V24" si="17">IF(T$12=0,0,T22/T$12)</f>
        <v>0.09</v>
      </c>
      <c r="W22" s="4"/>
      <c r="X22" s="22">
        <f t="shared" ref="X22:X24" si="18">+P22-T22</f>
        <v>-2.25</v>
      </c>
      <c r="Y22" s="4"/>
      <c r="Z22" s="31">
        <f t="shared" ref="Z22:Z24" si="19">IF(T22=0,0,X22/T22)</f>
        <v>-1</v>
      </c>
    </row>
    <row r="23" spans="1:26" s="28" customFormat="1" outlineLevel="1" collapsed="1" x14ac:dyDescent="0.3">
      <c r="A23" s="29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0</v>
      </c>
      <c r="E23" s="1"/>
      <c r="F23" s="5">
        <f t="shared" si="12"/>
        <v>0</v>
      </c>
      <c r="G23" s="1"/>
      <c r="H23" s="1">
        <f>SUM(OSRRefH22_0x_0)</f>
        <v>2.25</v>
      </c>
      <c r="I23" s="1"/>
      <c r="J23" s="5">
        <f t="shared" si="13"/>
        <v>0.09</v>
      </c>
      <c r="K23" s="1"/>
      <c r="L23" s="1">
        <f t="shared" si="14"/>
        <v>-2.25</v>
      </c>
      <c r="M23" s="1"/>
      <c r="N23" s="5">
        <f t="shared" si="15"/>
        <v>-1</v>
      </c>
      <c r="O23" s="14"/>
      <c r="P23" s="1">
        <f>SUM(OSRRefP22_0x_0)</f>
        <v>0</v>
      </c>
      <c r="Q23" s="1"/>
      <c r="R23" s="5">
        <f t="shared" si="16"/>
        <v>0</v>
      </c>
      <c r="S23" s="1"/>
      <c r="T23" s="1">
        <f>SUM(OSRRefT22_0x_0)</f>
        <v>2.25</v>
      </c>
      <c r="U23" s="1"/>
      <c r="V23" s="5">
        <f t="shared" si="17"/>
        <v>0.09</v>
      </c>
      <c r="W23" s="1"/>
      <c r="X23" s="1">
        <f t="shared" si="18"/>
        <v>-2.25</v>
      </c>
      <c r="Y23" s="1"/>
      <c r="Z23" s="5">
        <f t="shared" si="19"/>
        <v>-1</v>
      </c>
    </row>
    <row r="24" spans="1:26" s="24" customFormat="1" hidden="1" outlineLevel="2" x14ac:dyDescent="0.3">
      <c r="A24" s="27"/>
      <c r="B24" s="11" t="str">
        <f>CONCATENATE("          ", "6381", " - ", "BANK/CREDIT CARD FEES")</f>
        <v xml:space="preserve">          6381 - BANK/CREDIT CARD FEES</v>
      </c>
      <c r="C24" s="11"/>
      <c r="D24" s="6"/>
      <c r="E24" s="2"/>
      <c r="F24" s="7">
        <f t="shared" si="12"/>
        <v>0</v>
      </c>
      <c r="G24" s="2"/>
      <c r="H24" s="6">
        <v>2.25</v>
      </c>
      <c r="I24" s="2"/>
      <c r="J24" s="7">
        <f t="shared" si="13"/>
        <v>0.09</v>
      </c>
      <c r="K24" s="2"/>
      <c r="L24" s="6">
        <f t="shared" si="14"/>
        <v>-2.25</v>
      </c>
      <c r="M24" s="2"/>
      <c r="N24" s="7">
        <f t="shared" si="15"/>
        <v>-1</v>
      </c>
      <c r="O24" s="11"/>
      <c r="P24" s="6"/>
      <c r="Q24" s="2"/>
      <c r="R24" s="7">
        <f t="shared" si="16"/>
        <v>0</v>
      </c>
      <c r="S24" s="2"/>
      <c r="T24" s="6">
        <v>2.25</v>
      </c>
      <c r="U24" s="2"/>
      <c r="V24" s="7">
        <f t="shared" si="17"/>
        <v>0.09</v>
      </c>
      <c r="W24" s="2"/>
      <c r="X24" s="6">
        <f t="shared" si="18"/>
        <v>-2.25</v>
      </c>
      <c r="Y24" s="2"/>
      <c r="Z24" s="7">
        <f t="shared" si="19"/>
        <v>-1</v>
      </c>
    </row>
    <row r="25" spans="1:26" s="53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277</v>
      </c>
      <c r="C28" s="26"/>
      <c r="D28" s="21">
        <f>+D20-D22+D26</f>
        <v>85.35</v>
      </c>
      <c r="E28" s="13"/>
      <c r="F28" s="20">
        <f>IF(D$12=0,0,D28/D$12)</f>
        <v>0.65477560414269276</v>
      </c>
      <c r="G28" s="13"/>
      <c r="H28" s="21">
        <f>+H20-H22+H26</f>
        <v>9.75</v>
      </c>
      <c r="I28" s="13"/>
      <c r="J28" s="20">
        <f>IF(H$12=0,0,H28/H$12)</f>
        <v>0.39</v>
      </c>
      <c r="K28" s="16"/>
      <c r="L28" s="21">
        <f>+D28-H28</f>
        <v>75.599999999999994</v>
      </c>
      <c r="M28" s="16"/>
      <c r="N28" s="20">
        <f>IF(H28=0,0,L28/H28)</f>
        <v>7.7538461538461529</v>
      </c>
      <c r="O28" s="25"/>
      <c r="P28" s="21">
        <f>+P20-P22+P26</f>
        <v>85.35</v>
      </c>
      <c r="Q28" s="13"/>
      <c r="R28" s="20">
        <f>IF(P$12=0,0,P28/P$12)</f>
        <v>0.65477560414269276</v>
      </c>
      <c r="S28" s="13"/>
      <c r="T28" s="21">
        <f>+T20-T22+T26</f>
        <v>9.75</v>
      </c>
      <c r="U28" s="13"/>
      <c r="V28" s="20">
        <f>IF(T$12=0,0,T28/T$12)</f>
        <v>0.39</v>
      </c>
      <c r="W28" s="16"/>
      <c r="X28" s="21">
        <f>+P28-T28</f>
        <v>75.599999999999994</v>
      </c>
      <c r="Y28" s="16"/>
      <c r="Z28" s="20">
        <f>IF(T28=0,0,X28/T28)</f>
        <v>7.7538461538461529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2"/>
      <c r="B30" s="10" t="s">
        <v>128</v>
      </c>
      <c r="C30" s="10"/>
      <c r="D30" s="4">
        <v>19.48</v>
      </c>
      <c r="E30" s="4"/>
      <c r="F30" s="12">
        <f>IF(D$12=0,0,D30/D$12)</f>
        <v>0.14944380514000769</v>
      </c>
      <c r="G30" s="4"/>
      <c r="H30" s="4">
        <v>3</v>
      </c>
      <c r="I30" s="4"/>
      <c r="J30" s="12">
        <f>IF(H$12=0,0,H30/H$12)</f>
        <v>0.12</v>
      </c>
      <c r="K30" s="4"/>
      <c r="L30" s="4">
        <f>+D30-H30</f>
        <v>16.48</v>
      </c>
      <c r="M30" s="4"/>
      <c r="N30" s="12">
        <f>IF(H30=0,0,L30/H30)</f>
        <v>5.4933333333333332</v>
      </c>
      <c r="O30" s="10"/>
      <c r="P30" s="4">
        <v>19.48</v>
      </c>
      <c r="Q30" s="4"/>
      <c r="R30" s="12">
        <f>IF(P$12=0,0,P30/P$12)</f>
        <v>0.14944380514000769</v>
      </c>
      <c r="S30" s="4"/>
      <c r="T30" s="4">
        <v>3</v>
      </c>
      <c r="U30" s="4"/>
      <c r="V30" s="12">
        <f>IF(T$12=0,0,T30/T$12)</f>
        <v>0.12</v>
      </c>
      <c r="W30" s="4"/>
      <c r="X30" s="4">
        <f>+P30-T30</f>
        <v>16.48</v>
      </c>
      <c r="Y30" s="4"/>
      <c r="Z30" s="12">
        <f>IF(T30=0,0,X30/T30)</f>
        <v>5.4933333333333332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126</v>
      </c>
      <c r="C32" s="26"/>
      <c r="D32" s="30">
        <f>+D28-D30</f>
        <v>65.86999999999999</v>
      </c>
      <c r="E32" s="13"/>
      <c r="F32" s="35">
        <f>IF(D$12=0,0,D32/D$12)</f>
        <v>0.50533179900268499</v>
      </c>
      <c r="G32" s="13"/>
      <c r="H32" s="30">
        <f>+H28-H30</f>
        <v>6.75</v>
      </c>
      <c r="I32" s="13"/>
      <c r="J32" s="35">
        <f>IF(H$12=0,0,H32/H$12)</f>
        <v>0.27</v>
      </c>
      <c r="K32" s="16"/>
      <c r="L32" s="30">
        <f>D32-H32</f>
        <v>59.11999999999999</v>
      </c>
      <c r="M32" s="16"/>
      <c r="N32" s="35">
        <f>IF(H32=0,0,L32/H32)</f>
        <v>8.7585185185185175</v>
      </c>
      <c r="O32" s="25"/>
      <c r="P32" s="30">
        <f>+P28-P30</f>
        <v>65.86999999999999</v>
      </c>
      <c r="Q32" s="13"/>
      <c r="R32" s="35">
        <f>IF(P$12=0,0,P32/P$12)</f>
        <v>0.50533179900268499</v>
      </c>
      <c r="S32" s="13"/>
      <c r="T32" s="30">
        <f>+T28-T30</f>
        <v>6.75</v>
      </c>
      <c r="U32" s="13"/>
      <c r="V32" s="35">
        <f>IF(T$12=0,0,T32/T$12)</f>
        <v>0.27</v>
      </c>
      <c r="W32" s="16"/>
      <c r="X32" s="30">
        <f>P32-T32</f>
        <v>59.11999999999999</v>
      </c>
      <c r="Y32" s="16"/>
      <c r="Z32" s="35">
        <f>IF(T32=0,0,X32/T32)</f>
        <v>8.7585185185185175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294</v>
      </c>
      <c r="C35" s="26"/>
      <c r="D35" s="32">
        <f>SUM(D32:D34)</f>
        <v>65.86999999999999</v>
      </c>
      <c r="E35" s="13"/>
      <c r="F35" s="34">
        <f>IF(D$12=0,0,D35/D$12)</f>
        <v>0.50533179900268499</v>
      </c>
      <c r="G35" s="13"/>
      <c r="H35" s="32">
        <f>SUM(H32:H34)</f>
        <v>6.75</v>
      </c>
      <c r="I35" s="13"/>
      <c r="J35" s="34">
        <f>IF(H$12=0,0,H35/H$12)</f>
        <v>0.27</v>
      </c>
      <c r="K35" s="16"/>
      <c r="L35" s="32">
        <f>+D35-H35</f>
        <v>59.11999999999999</v>
      </c>
      <c r="M35" s="16"/>
      <c r="N35" s="34">
        <f>IF(H35=0,0,L35/H35)</f>
        <v>8.7585185185185175</v>
      </c>
      <c r="O35" s="25"/>
      <c r="P35" s="32">
        <f>SUM(P32:P34)</f>
        <v>65.86999999999999</v>
      </c>
      <c r="Q35" s="13"/>
      <c r="R35" s="34">
        <f>IF(P$12=0,0,P35/P$12)</f>
        <v>0.50533179900268499</v>
      </c>
      <c r="S35" s="13"/>
      <c r="T35" s="32">
        <f>SUM(T32:T34)</f>
        <v>6.75</v>
      </c>
      <c r="U35" s="13"/>
      <c r="V35" s="34">
        <f>IF(T$12=0,0,T35/T$12)</f>
        <v>0.27</v>
      </c>
      <c r="W35" s="16"/>
      <c r="X35" s="32">
        <f>+P35-T35</f>
        <v>59.11999999999999</v>
      </c>
      <c r="Y35" s="16"/>
      <c r="Z35" s="34">
        <f>IF(T35=0,0,X35/T35)</f>
        <v>8.7585185185185175</v>
      </c>
    </row>
    <row r="36" spans="1:26" ht="15" thickTop="1" x14ac:dyDescent="0.3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61">
        <v>44470.835499687499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8" t="s">
        <v>56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5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2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200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535502.98</v>
      </c>
      <c r="E12" s="4"/>
      <c r="F12" s="12"/>
      <c r="G12" s="4"/>
      <c r="H12" s="4">
        <f>SUM(OSRRefH13x_0)</f>
        <v>327274</v>
      </c>
      <c r="I12" s="4"/>
      <c r="J12" s="12"/>
      <c r="K12" s="4"/>
      <c r="L12" s="4">
        <f t="shared" ref="L12:L18" si="0">+D12-H12</f>
        <v>208228.97999999998</v>
      </c>
      <c r="M12" s="4"/>
      <c r="N12" s="12">
        <f t="shared" ref="N12:N18" si="1">IF(H12=0,0,L12/H12)</f>
        <v>0.63625274235044638</v>
      </c>
      <c r="O12" s="10"/>
      <c r="P12" s="4">
        <f>SUM(OSRRefP13x_0)</f>
        <v>578192.64000000001</v>
      </c>
      <c r="Q12" s="4"/>
      <c r="R12" s="12"/>
      <c r="S12" s="4"/>
      <c r="T12" s="4">
        <f>SUM(OSRRefT13x_0)</f>
        <v>335789</v>
      </c>
      <c r="U12" s="4"/>
      <c r="V12" s="12"/>
      <c r="W12" s="4"/>
      <c r="X12" s="4">
        <f t="shared" ref="X12:X18" si="2">+P12-T12</f>
        <v>242403.64</v>
      </c>
      <c r="Y12" s="4"/>
      <c r="Z12" s="12">
        <f t="shared" ref="Z12:Z18" si="3">IF(T12=0,0,X12/T12)</f>
        <v>0.72189273621232386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14284</v>
      </c>
      <c r="I13" s="2"/>
      <c r="J13" s="19"/>
      <c r="K13" s="2"/>
      <c r="L13" s="2">
        <f t="shared" si="0"/>
        <v>-14284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17046</v>
      </c>
      <c r="U13" s="2"/>
      <c r="V13" s="19"/>
      <c r="W13" s="2"/>
      <c r="X13" s="2">
        <f t="shared" si="2"/>
        <v>-17046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--20639.51</f>
        <v>20639.509999999998</v>
      </c>
      <c r="E14" s="2"/>
      <c r="F14" s="19"/>
      <c r="G14" s="2"/>
      <c r="H14" s="2"/>
      <c r="I14" s="2"/>
      <c r="J14" s="19"/>
      <c r="K14" s="2"/>
      <c r="L14" s="2">
        <f t="shared" si="0"/>
        <v>20639.509999999998</v>
      </c>
      <c r="M14" s="2"/>
      <c r="N14" s="19">
        <f t="shared" si="1"/>
        <v>0</v>
      </c>
      <c r="O14" s="11"/>
      <c r="P14" s="2">
        <f>--31270.44</f>
        <v>31270.44</v>
      </c>
      <c r="Q14" s="2"/>
      <c r="R14" s="19"/>
      <c r="S14" s="2"/>
      <c r="T14" s="2"/>
      <c r="U14" s="2"/>
      <c r="V14" s="19"/>
      <c r="W14" s="2"/>
      <c r="X14" s="2">
        <f t="shared" si="2"/>
        <v>31270.44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--384.19</f>
        <v>384.19</v>
      </c>
      <c r="E15" s="2"/>
      <c r="F15" s="19"/>
      <c r="G15" s="2"/>
      <c r="H15" s="2"/>
      <c r="I15" s="2"/>
      <c r="J15" s="19"/>
      <c r="K15" s="2"/>
      <c r="L15" s="2">
        <f t="shared" si="0"/>
        <v>384.19</v>
      </c>
      <c r="M15" s="2"/>
      <c r="N15" s="19">
        <f t="shared" si="1"/>
        <v>0</v>
      </c>
      <c r="O15" s="11"/>
      <c r="P15" s="2">
        <f>--490.83</f>
        <v>490.83</v>
      </c>
      <c r="Q15" s="2"/>
      <c r="R15" s="19"/>
      <c r="S15" s="2"/>
      <c r="T15" s="2"/>
      <c r="U15" s="2"/>
      <c r="V15" s="19"/>
      <c r="W15" s="2"/>
      <c r="X15" s="2">
        <f t="shared" si="2"/>
        <v>490.83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312990</v>
      </c>
      <c r="I16" s="2"/>
      <c r="J16" s="19"/>
      <c r="K16" s="2"/>
      <c r="L16" s="2">
        <f t="shared" si="0"/>
        <v>-312990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318743</v>
      </c>
      <c r="U16" s="2"/>
      <c r="V16" s="19"/>
      <c r="W16" s="2"/>
      <c r="X16" s="2">
        <f t="shared" si="2"/>
        <v>-318743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--498691.97</f>
        <v>498691.97</v>
      </c>
      <c r="E17" s="2"/>
      <c r="F17" s="19"/>
      <c r="G17" s="2"/>
      <c r="H17" s="2"/>
      <c r="I17" s="2"/>
      <c r="J17" s="19"/>
      <c r="K17" s="2"/>
      <c r="L17" s="2">
        <f t="shared" si="0"/>
        <v>498691.97</v>
      </c>
      <c r="M17" s="2"/>
      <c r="N17" s="19">
        <f t="shared" si="1"/>
        <v>0</v>
      </c>
      <c r="O17" s="11"/>
      <c r="P17" s="2">
        <f>--527363.35</f>
        <v>527363.35</v>
      </c>
      <c r="Q17" s="2"/>
      <c r="R17" s="19"/>
      <c r="S17" s="2"/>
      <c r="T17" s="2"/>
      <c r="U17" s="2"/>
      <c r="V17" s="19"/>
      <c r="W17" s="2"/>
      <c r="X17" s="2">
        <f t="shared" si="2"/>
        <v>527363.35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--15787.31</f>
        <v>15787.31</v>
      </c>
      <c r="E18" s="2"/>
      <c r="F18" s="19"/>
      <c r="G18" s="2"/>
      <c r="H18" s="2"/>
      <c r="I18" s="2"/>
      <c r="J18" s="19"/>
      <c r="K18" s="2"/>
      <c r="L18" s="2">
        <f t="shared" si="0"/>
        <v>15787.31</v>
      </c>
      <c r="M18" s="2"/>
      <c r="N18" s="19">
        <f t="shared" si="1"/>
        <v>0</v>
      </c>
      <c r="O18" s="11"/>
      <c r="P18" s="2">
        <f>--19068.02</f>
        <v>19068.02</v>
      </c>
      <c r="Q18" s="2"/>
      <c r="R18" s="19"/>
      <c r="S18" s="2"/>
      <c r="T18" s="2"/>
      <c r="U18" s="2"/>
      <c r="V18" s="19"/>
      <c r="W18" s="2"/>
      <c r="X18" s="2">
        <f t="shared" si="2"/>
        <v>19068.02</v>
      </c>
      <c r="Y18" s="2"/>
      <c r="Z18" s="19">
        <f t="shared" si="3"/>
        <v>0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5" t="s">
        <v>257</v>
      </c>
      <c r="C20" s="10"/>
      <c r="D20" s="4">
        <f>SUM(OSRRefD16x_0)</f>
        <v>189344.45</v>
      </c>
      <c r="E20" s="4"/>
      <c r="F20" s="12">
        <f t="shared" ref="F20:F23" si="4">IF(D$12=0,0,D20/D$12)</f>
        <v>0.35358243944786266</v>
      </c>
      <c r="G20" s="4"/>
      <c r="H20" s="4">
        <f>SUM(OSRRefH16x_0)</f>
        <v>161257</v>
      </c>
      <c r="I20" s="4"/>
      <c r="J20" s="12">
        <f t="shared" ref="J20:J23" si="5">IF(H$12=0,0,H20/H$12)</f>
        <v>0.492727806058532</v>
      </c>
      <c r="K20" s="4"/>
      <c r="L20" s="4">
        <f t="shared" ref="L20:L23" si="6">+D20-H20</f>
        <v>28087.450000000012</v>
      </c>
      <c r="M20" s="4"/>
      <c r="N20" s="12">
        <f t="shared" ref="N20:N23" si="7">IF(H20=0,0,L20/H20)</f>
        <v>0.17417817521099865</v>
      </c>
      <c r="O20" s="10"/>
      <c r="P20" s="4">
        <f>SUM(OSRRefP16x_0)</f>
        <v>211532.66999999998</v>
      </c>
      <c r="Q20" s="4"/>
      <c r="R20" s="12">
        <f t="shared" ref="R20:R23" si="8">IF(P$12=0,0,P20/P$12)</f>
        <v>0.36585154387299013</v>
      </c>
      <c r="S20" s="4"/>
      <c r="T20" s="4">
        <f>SUM(OSRRefT16x_0)</f>
        <v>164506</v>
      </c>
      <c r="U20" s="4"/>
      <c r="V20" s="12">
        <f t="shared" ref="V20:V23" si="9">IF(T$12=0,0,T20/T$12)</f>
        <v>0.48990884156419656</v>
      </c>
      <c r="W20" s="4"/>
      <c r="X20" s="4">
        <f t="shared" ref="X20:X23" si="10">+P20-T20</f>
        <v>47026.669999999984</v>
      </c>
      <c r="Y20" s="4"/>
      <c r="Z20" s="12">
        <f t="shared" ref="Z20:Z23" si="11">IF(T20=0,0,X20/T20)</f>
        <v>0.2858659866509427</v>
      </c>
    </row>
    <row r="21" spans="1:26" s="24" customFormat="1" hidden="1" outlineLevel="1" x14ac:dyDescent="0.3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161257</v>
      </c>
      <c r="I21" s="2"/>
      <c r="J21" s="19">
        <f t="shared" si="5"/>
        <v>0.492727806058532</v>
      </c>
      <c r="K21" s="2"/>
      <c r="L21" s="2">
        <f t="shared" si="6"/>
        <v>-161257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164506</v>
      </c>
      <c r="U21" s="2"/>
      <c r="V21" s="19">
        <f t="shared" si="9"/>
        <v>0.48990884156419656</v>
      </c>
      <c r="W21" s="2"/>
      <c r="X21" s="2">
        <f t="shared" si="10"/>
        <v>-164506</v>
      </c>
      <c r="Y21" s="2"/>
      <c r="Z21" s="19">
        <f t="shared" si="11"/>
        <v>-1</v>
      </c>
    </row>
    <row r="22" spans="1:26" s="24" customFormat="1" hidden="1" outlineLevel="1" x14ac:dyDescent="0.3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256776.45</v>
      </c>
      <c r="E22" s="2"/>
      <c r="F22" s="19">
        <f t="shared" si="4"/>
        <v>0.47950517474244497</v>
      </c>
      <c r="G22" s="2"/>
      <c r="H22" s="2"/>
      <c r="I22" s="2"/>
      <c r="J22" s="19">
        <f t="shared" si="5"/>
        <v>0</v>
      </c>
      <c r="K22" s="2"/>
      <c r="L22" s="2">
        <f t="shared" si="6"/>
        <v>256776.45</v>
      </c>
      <c r="M22" s="2"/>
      <c r="N22" s="19">
        <f t="shared" si="7"/>
        <v>0</v>
      </c>
      <c r="O22" s="11"/>
      <c r="P22" s="2">
        <v>282969.67</v>
      </c>
      <c r="Q22" s="2"/>
      <c r="R22" s="19">
        <f t="shared" si="8"/>
        <v>0.48940379109633769</v>
      </c>
      <c r="S22" s="2"/>
      <c r="T22" s="2"/>
      <c r="U22" s="2"/>
      <c r="V22" s="19">
        <f t="shared" si="9"/>
        <v>0</v>
      </c>
      <c r="W22" s="2"/>
      <c r="X22" s="2">
        <f t="shared" si="10"/>
        <v>282969.67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-67432</v>
      </c>
      <c r="E23" s="2"/>
      <c r="F23" s="19">
        <f t="shared" si="4"/>
        <v>-0.12592273529458231</v>
      </c>
      <c r="G23" s="2"/>
      <c r="H23" s="2"/>
      <c r="I23" s="2"/>
      <c r="J23" s="19">
        <f t="shared" si="5"/>
        <v>0</v>
      </c>
      <c r="K23" s="2"/>
      <c r="L23" s="2">
        <f t="shared" si="6"/>
        <v>-67432</v>
      </c>
      <c r="M23" s="2"/>
      <c r="N23" s="19">
        <f t="shared" si="7"/>
        <v>0</v>
      </c>
      <c r="O23" s="11"/>
      <c r="P23" s="2">
        <v>-71437</v>
      </c>
      <c r="Q23" s="2"/>
      <c r="R23" s="19">
        <f t="shared" si="8"/>
        <v>-0.12355224722334757</v>
      </c>
      <c r="S23" s="2"/>
      <c r="T23" s="2"/>
      <c r="U23" s="2"/>
      <c r="V23" s="19">
        <f t="shared" si="9"/>
        <v>0</v>
      </c>
      <c r="W23" s="2"/>
      <c r="X23" s="2">
        <f t="shared" si="10"/>
        <v>-71437</v>
      </c>
      <c r="Y23" s="2"/>
      <c r="Z23" s="19">
        <f t="shared" si="11"/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108</v>
      </c>
      <c r="C25" s="26"/>
      <c r="D25" s="21">
        <f>D12-D20</f>
        <v>346158.52999999997</v>
      </c>
      <c r="E25" s="13"/>
      <c r="F25" s="20">
        <f>IF(D$12=0,0,D25/D$12)</f>
        <v>0.64641756055213728</v>
      </c>
      <c r="G25" s="13"/>
      <c r="H25" s="21">
        <f>H12-H20</f>
        <v>166017</v>
      </c>
      <c r="I25" s="13"/>
      <c r="J25" s="20">
        <f>IF(H$12=0,0,H25/H$12)</f>
        <v>0.50727219394146805</v>
      </c>
      <c r="K25" s="16"/>
      <c r="L25" s="21">
        <f>+D25-H25</f>
        <v>180141.52999999997</v>
      </c>
      <c r="M25" s="16"/>
      <c r="N25" s="20">
        <f>IF(H25=0,0,L25/H25)</f>
        <v>1.0850788172295607</v>
      </c>
      <c r="O25" s="25"/>
      <c r="P25" s="21">
        <f>P12-P20</f>
        <v>366659.97000000003</v>
      </c>
      <c r="Q25" s="13"/>
      <c r="R25" s="20">
        <f>IF(P$12=0,0,P25/P$12)</f>
        <v>0.63414845612700987</v>
      </c>
      <c r="S25" s="13"/>
      <c r="T25" s="21">
        <f>T12-T20</f>
        <v>171283</v>
      </c>
      <c r="U25" s="13"/>
      <c r="V25" s="20">
        <f>IF(T$12=0,0,T25/T$12)</f>
        <v>0.51009115843580344</v>
      </c>
      <c r="W25" s="16"/>
      <c r="X25" s="21">
        <f>+P25-T25</f>
        <v>195376.97000000003</v>
      </c>
      <c r="Y25" s="16"/>
      <c r="Z25" s="20">
        <f>IF(T25=0,0,X25/T25)</f>
        <v>1.1406676085776173</v>
      </c>
    </row>
    <row r="26" spans="1:26" x14ac:dyDescent="0.3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295</v>
      </c>
      <c r="C27" s="10"/>
      <c r="D27" s="22">
        <f>SUM(OSRRefD22x_0)</f>
        <v>515004.68999999994</v>
      </c>
      <c r="E27" s="22"/>
      <c r="F27" s="31">
        <f t="shared" ref="F27:F38" si="12">IF(D$12=0,0,D27/D$12)</f>
        <v>0.96172142683501027</v>
      </c>
      <c r="G27" s="22"/>
      <c r="H27" s="22">
        <f>SUM(OSRRefH22x_0)</f>
        <v>581731.53532126918</v>
      </c>
      <c r="I27" s="22"/>
      <c r="J27" s="31">
        <f t="shared" ref="J27:J38" si="13">IF(H$12=0,0,H27/H$12)</f>
        <v>1.7775061120689979</v>
      </c>
      <c r="K27" s="4"/>
      <c r="L27" s="22">
        <f t="shared" ref="L27:L38" si="14">+D27-H27</f>
        <v>-66726.84532126924</v>
      </c>
      <c r="M27" s="4"/>
      <c r="N27" s="31">
        <f t="shared" ref="N27:N38" si="15">IF(H27=0,0,L27/H27)</f>
        <v>-0.11470384751347273</v>
      </c>
      <c r="O27" s="10"/>
      <c r="P27" s="22">
        <f>SUM(OSRRefP22x_0)</f>
        <v>855485.70999999985</v>
      </c>
      <c r="Q27" s="22"/>
      <c r="R27" s="31">
        <f t="shared" ref="R27:R38" si="16">IF(P$12=0,0,P27/P$12)</f>
        <v>1.4795859559886473</v>
      </c>
      <c r="S27" s="22"/>
      <c r="T27" s="22">
        <f>SUM(OSRRefT22x_0)</f>
        <v>1088299.5883936721</v>
      </c>
      <c r="U27" s="22"/>
      <c r="V27" s="31">
        <f t="shared" ref="V27:V38" si="17">IF(T$12=0,0,T27/T$12)</f>
        <v>3.2410221549653864</v>
      </c>
      <c r="W27" s="4"/>
      <c r="X27" s="22">
        <f t="shared" ref="X27:X38" si="18">+P27-T27</f>
        <v>-232813.87839367229</v>
      </c>
      <c r="Y27" s="4"/>
      <c r="Z27" s="31">
        <f t="shared" ref="Z27:Z38" si="19">IF(T27=0,0,X27/T27)</f>
        <v>-0.21392443852460247</v>
      </c>
    </row>
    <row r="28" spans="1:26" s="28" customFormat="1" outlineLevel="1" collapsed="1" x14ac:dyDescent="0.3">
      <c r="A28" s="29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103884.97</v>
      </c>
      <c r="E28" s="1"/>
      <c r="F28" s="5">
        <f t="shared" si="12"/>
        <v>0.19399512958826112</v>
      </c>
      <c r="G28" s="1"/>
      <c r="H28" s="1">
        <f>SUM(OSRRefH22_0x_0)</f>
        <v>132749.53866742304</v>
      </c>
      <c r="I28" s="1"/>
      <c r="J28" s="5">
        <f t="shared" si="13"/>
        <v>0.40562201295374223</v>
      </c>
      <c r="K28" s="1"/>
      <c r="L28" s="1">
        <f t="shared" si="14"/>
        <v>-28864.568667423038</v>
      </c>
      <c r="M28" s="1"/>
      <c r="N28" s="5">
        <f t="shared" si="15"/>
        <v>-0.21743630115157947</v>
      </c>
      <c r="O28" s="14"/>
      <c r="P28" s="1">
        <f>SUM(OSRRefP22_0x_0)</f>
        <v>197019.55000000002</v>
      </c>
      <c r="Q28" s="1"/>
      <c r="R28" s="5">
        <f t="shared" si="16"/>
        <v>0.34075070550880759</v>
      </c>
      <c r="S28" s="1"/>
      <c r="T28" s="1">
        <f>SUM(OSRRefT22_0x_0)</f>
        <v>276744.8309225188</v>
      </c>
      <c r="U28" s="1"/>
      <c r="V28" s="5">
        <f t="shared" si="17"/>
        <v>0.82416288479526967</v>
      </c>
      <c r="W28" s="1"/>
      <c r="X28" s="1">
        <f t="shared" si="18"/>
        <v>-79725.280922518781</v>
      </c>
      <c r="Y28" s="1"/>
      <c r="Z28" s="5">
        <f t="shared" si="19"/>
        <v>-0.28808227657498592</v>
      </c>
    </row>
    <row r="29" spans="1:26" s="24" customFormat="1" hidden="1" outlineLevel="2" x14ac:dyDescent="0.3">
      <c r="A29" s="27"/>
      <c r="B29" s="11" t="str">
        <f>CONCATENATE("          ", "6111", " - ", "F.I.C.A.")</f>
        <v xml:space="preserve">          6111 - F.I.C.A.</v>
      </c>
      <c r="C29" s="11"/>
      <c r="D29" s="6">
        <v>13854.91</v>
      </c>
      <c r="E29" s="2"/>
      <c r="F29" s="7">
        <f t="shared" si="12"/>
        <v>2.5872703826970302E-2</v>
      </c>
      <c r="G29" s="2"/>
      <c r="H29" s="6">
        <v>17951.2597443462</v>
      </c>
      <c r="I29" s="2"/>
      <c r="J29" s="7">
        <f t="shared" si="13"/>
        <v>5.4850858132165101E-2</v>
      </c>
      <c r="K29" s="2"/>
      <c r="L29" s="6">
        <f t="shared" si="14"/>
        <v>-4096.3497443462002</v>
      </c>
      <c r="M29" s="2"/>
      <c r="N29" s="7">
        <f t="shared" si="15"/>
        <v>-0.22819288466016191</v>
      </c>
      <c r="O29" s="11"/>
      <c r="P29" s="6">
        <v>23683.040000000001</v>
      </c>
      <c r="Q29" s="2"/>
      <c r="R29" s="7">
        <f t="shared" si="16"/>
        <v>4.0960466048132332E-2</v>
      </c>
      <c r="S29" s="2"/>
      <c r="T29" s="6">
        <v>35067.562912903799</v>
      </c>
      <c r="U29" s="2"/>
      <c r="V29" s="7">
        <f t="shared" si="17"/>
        <v>0.10443332840832725</v>
      </c>
      <c r="W29" s="2"/>
      <c r="X29" s="6">
        <f t="shared" si="18"/>
        <v>-11384.522912903798</v>
      </c>
      <c r="Y29" s="2"/>
      <c r="Z29" s="7">
        <f t="shared" si="19"/>
        <v>-0.32464539783329621</v>
      </c>
    </row>
    <row r="30" spans="1:26" s="24" customFormat="1" hidden="1" outlineLevel="2" x14ac:dyDescent="0.3">
      <c r="A30" s="27"/>
      <c r="B30" s="11" t="str">
        <f>CONCATENATE("          ", "6112", " - ", "COMPENSATION INSURANCE")</f>
        <v xml:space="preserve">          6112 - COMPENSATION INSURANCE</v>
      </c>
      <c r="C30" s="11"/>
      <c r="D30" s="6">
        <v>6025.09</v>
      </c>
      <c r="E30" s="2"/>
      <c r="F30" s="7">
        <f t="shared" si="12"/>
        <v>1.1251272588623131E-2</v>
      </c>
      <c r="G30" s="2"/>
      <c r="H30" s="6">
        <v>10566.785445769199</v>
      </c>
      <c r="I30" s="2"/>
      <c r="J30" s="7">
        <f t="shared" si="13"/>
        <v>3.228727441156095E-2</v>
      </c>
      <c r="K30" s="2"/>
      <c r="L30" s="6">
        <f t="shared" si="14"/>
        <v>-4541.6954457691991</v>
      </c>
      <c r="M30" s="2"/>
      <c r="N30" s="7">
        <f t="shared" si="15"/>
        <v>-0.42980861768018896</v>
      </c>
      <c r="O30" s="11"/>
      <c r="P30" s="6">
        <v>10244.68</v>
      </c>
      <c r="Q30" s="2"/>
      <c r="R30" s="7">
        <f t="shared" si="16"/>
        <v>1.7718454527542931E-2</v>
      </c>
      <c r="S30" s="2"/>
      <c r="T30" s="6">
        <v>19060.8128217308</v>
      </c>
      <c r="U30" s="2"/>
      <c r="V30" s="7">
        <f t="shared" si="17"/>
        <v>5.6764256189841836E-2</v>
      </c>
      <c r="W30" s="2"/>
      <c r="X30" s="6">
        <f t="shared" si="18"/>
        <v>-8816.1328217308001</v>
      </c>
      <c r="Y30" s="2"/>
      <c r="Z30" s="7">
        <f t="shared" si="19"/>
        <v>-0.46252659339268715</v>
      </c>
    </row>
    <row r="31" spans="1:26" s="24" customFormat="1" hidden="1" outlineLevel="2" x14ac:dyDescent="0.3">
      <c r="A31" s="27"/>
      <c r="B31" s="11" t="str">
        <f>CONCATENATE("          ", "6113", " - ", "GROUP INSURANCE")</f>
        <v xml:space="preserve">          6113 - GROUP INSURANCE</v>
      </c>
      <c r="C31" s="11"/>
      <c r="D31" s="6">
        <v>54726.42</v>
      </c>
      <c r="E31" s="2"/>
      <c r="F31" s="7">
        <f t="shared" si="12"/>
        <v>0.10219629403369521</v>
      </c>
      <c r="G31" s="2"/>
      <c r="H31" s="6">
        <v>75355.1538461538</v>
      </c>
      <c r="I31" s="2"/>
      <c r="J31" s="7">
        <f t="shared" si="13"/>
        <v>0.230250963553945</v>
      </c>
      <c r="K31" s="2"/>
      <c r="L31" s="6">
        <f t="shared" si="14"/>
        <v>-20628.733846153802</v>
      </c>
      <c r="M31" s="2"/>
      <c r="N31" s="7">
        <f t="shared" si="15"/>
        <v>-0.27375345670808038</v>
      </c>
      <c r="O31" s="11"/>
      <c r="P31" s="6">
        <v>107424.78</v>
      </c>
      <c r="Q31" s="2"/>
      <c r="R31" s="7">
        <f t="shared" si="16"/>
        <v>0.185794097967072</v>
      </c>
      <c r="S31" s="2"/>
      <c r="T31" s="6">
        <v>163407.73846153801</v>
      </c>
      <c r="U31" s="2"/>
      <c r="V31" s="7">
        <f t="shared" si="17"/>
        <v>0.48663815211796102</v>
      </c>
      <c r="W31" s="2"/>
      <c r="X31" s="6">
        <f t="shared" si="18"/>
        <v>-55982.958461538015</v>
      </c>
      <c r="Y31" s="2"/>
      <c r="Z31" s="7">
        <f t="shared" si="19"/>
        <v>-0.34259673983992484</v>
      </c>
    </row>
    <row r="32" spans="1:26" s="24" customFormat="1" hidden="1" outlineLevel="2" x14ac:dyDescent="0.3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6">
        <v>464.13</v>
      </c>
      <c r="E32" s="2"/>
      <c r="F32" s="7">
        <f t="shared" si="12"/>
        <v>8.6671786588377161E-4</v>
      </c>
      <c r="G32" s="2"/>
      <c r="H32" s="6">
        <v>585.49470807692398</v>
      </c>
      <c r="I32" s="2"/>
      <c r="J32" s="7">
        <f t="shared" si="13"/>
        <v>1.7890046507725147E-3</v>
      </c>
      <c r="K32" s="2"/>
      <c r="L32" s="6">
        <f t="shared" si="14"/>
        <v>-121.36470807692399</v>
      </c>
      <c r="M32" s="2"/>
      <c r="N32" s="7">
        <f t="shared" si="15"/>
        <v>-0.20728574725389104</v>
      </c>
      <c r="O32" s="11"/>
      <c r="P32" s="6">
        <v>797.65</v>
      </c>
      <c r="Q32" s="2"/>
      <c r="R32" s="7">
        <f t="shared" si="16"/>
        <v>1.3795575121814071E-3</v>
      </c>
      <c r="S32" s="2"/>
      <c r="T32" s="6">
        <v>1056.1400244230799</v>
      </c>
      <c r="U32" s="2"/>
      <c r="V32" s="7">
        <f t="shared" si="17"/>
        <v>3.1452490237115567E-3</v>
      </c>
      <c r="W32" s="2"/>
      <c r="X32" s="6">
        <f t="shared" si="18"/>
        <v>-258.49002442307994</v>
      </c>
      <c r="Y32" s="2"/>
      <c r="Z32" s="7">
        <f t="shared" si="19"/>
        <v>-0.24474976655134437</v>
      </c>
    </row>
    <row r="33" spans="1:26" s="24" customFormat="1" hidden="1" outlineLevel="2" x14ac:dyDescent="0.3">
      <c r="A33" s="27"/>
      <c r="B33" s="11" t="str">
        <f>CONCATENATE("          ", "6115", " - ", "P.E.R.S.")</f>
        <v xml:space="preserve">          6115 - P.E.R.S.</v>
      </c>
      <c r="C33" s="11"/>
      <c r="D33" s="6">
        <v>6888.55</v>
      </c>
      <c r="E33" s="2"/>
      <c r="F33" s="7">
        <f t="shared" si="12"/>
        <v>1.2863700590424352E-2</v>
      </c>
      <c r="G33" s="2"/>
      <c r="H33" s="6">
        <v>6180.7902307692302</v>
      </c>
      <c r="I33" s="2"/>
      <c r="J33" s="7">
        <f t="shared" si="13"/>
        <v>1.888567448306077E-2</v>
      </c>
      <c r="K33" s="2"/>
      <c r="L33" s="6">
        <f t="shared" si="14"/>
        <v>707.75976923076996</v>
      </c>
      <c r="M33" s="2"/>
      <c r="N33" s="7">
        <f t="shared" si="15"/>
        <v>0.11450959226983598</v>
      </c>
      <c r="O33" s="11"/>
      <c r="P33" s="6">
        <v>13415.11</v>
      </c>
      <c r="Q33" s="2"/>
      <c r="R33" s="7">
        <f t="shared" si="16"/>
        <v>2.3201800009076561E-2</v>
      </c>
      <c r="S33" s="2"/>
      <c r="T33" s="6">
        <v>13906.7780192308</v>
      </c>
      <c r="U33" s="2"/>
      <c r="V33" s="7">
        <f t="shared" si="17"/>
        <v>4.1415228072482421E-2</v>
      </c>
      <c r="W33" s="2"/>
      <c r="X33" s="6">
        <f t="shared" si="18"/>
        <v>-491.66801923079947</v>
      </c>
      <c r="Y33" s="2"/>
      <c r="Z33" s="7">
        <f t="shared" si="19"/>
        <v>-3.5354560096587648E-2</v>
      </c>
    </row>
    <row r="34" spans="1:26" s="24" customFormat="1" hidden="1" outlineLevel="2" x14ac:dyDescent="0.3">
      <c r="A34" s="27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3">
      <c r="A35" s="27"/>
      <c r="B35" s="11" t="str">
        <f>CONCATENATE("          ", "6117", " - ", "RETIREMENT STAFF HOURLY")</f>
        <v xml:space="preserve">          6117 - RETIREMENT STAFF HOURLY</v>
      </c>
      <c r="C35" s="11"/>
      <c r="D35" s="6">
        <v>2188.98</v>
      </c>
      <c r="E35" s="2"/>
      <c r="F35" s="7">
        <f t="shared" si="12"/>
        <v>4.0877083447789595E-3</v>
      </c>
      <c r="G35" s="2"/>
      <c r="H35" s="6"/>
      <c r="I35" s="2"/>
      <c r="J35" s="7">
        <f t="shared" si="13"/>
        <v>0</v>
      </c>
      <c r="K35" s="2"/>
      <c r="L35" s="6">
        <f t="shared" si="14"/>
        <v>2188.98</v>
      </c>
      <c r="M35" s="2"/>
      <c r="N35" s="7">
        <f t="shared" si="15"/>
        <v>0</v>
      </c>
      <c r="O35" s="11"/>
      <c r="P35" s="6">
        <v>3470.62</v>
      </c>
      <c r="Q35" s="2"/>
      <c r="R35" s="7">
        <f t="shared" si="16"/>
        <v>6.0025323048041564E-3</v>
      </c>
      <c r="S35" s="2"/>
      <c r="T35" s="6"/>
      <c r="U35" s="2"/>
      <c r="V35" s="7">
        <f t="shared" si="17"/>
        <v>0</v>
      </c>
      <c r="W35" s="2"/>
      <c r="X35" s="6">
        <f t="shared" si="18"/>
        <v>3470.62</v>
      </c>
      <c r="Y35" s="2"/>
      <c r="Z35" s="7">
        <f t="shared" si="19"/>
        <v>0</v>
      </c>
    </row>
    <row r="36" spans="1:26" s="24" customFormat="1" hidden="1" outlineLevel="2" x14ac:dyDescent="0.3">
      <c r="A36" s="27"/>
      <c r="B36" s="11" t="str">
        <f>CONCATENATE("          ", "6118", " - ", "VACATION")</f>
        <v xml:space="preserve">          6118 - VACATION</v>
      </c>
      <c r="C36" s="11"/>
      <c r="D36" s="6">
        <v>9698.2900000000009</v>
      </c>
      <c r="E36" s="2"/>
      <c r="F36" s="7">
        <f t="shared" si="12"/>
        <v>1.8110618170602898E-2</v>
      </c>
      <c r="G36" s="2"/>
      <c r="H36" s="6">
        <v>7967.29372615384</v>
      </c>
      <c r="I36" s="2"/>
      <c r="J36" s="7">
        <f t="shared" si="13"/>
        <v>2.4344413934971432E-2</v>
      </c>
      <c r="K36" s="2"/>
      <c r="L36" s="6">
        <f t="shared" si="14"/>
        <v>1730.9962738461609</v>
      </c>
      <c r="M36" s="2"/>
      <c r="N36" s="7">
        <f t="shared" si="15"/>
        <v>0.21726276617164311</v>
      </c>
      <c r="O36" s="11"/>
      <c r="P36" s="6">
        <v>18683.310000000001</v>
      </c>
      <c r="Q36" s="2"/>
      <c r="R36" s="7">
        <f t="shared" si="16"/>
        <v>3.2313296136042134E-2</v>
      </c>
      <c r="S36" s="2"/>
      <c r="T36" s="6">
        <v>17874.5708838461</v>
      </c>
      <c r="U36" s="2"/>
      <c r="V36" s="7">
        <f t="shared" si="17"/>
        <v>5.3231555780106257E-2</v>
      </c>
      <c r="W36" s="2"/>
      <c r="X36" s="6">
        <f t="shared" si="18"/>
        <v>808.7391161539017</v>
      </c>
      <c r="Y36" s="2"/>
      <c r="Z36" s="7">
        <f t="shared" si="19"/>
        <v>4.5245232537850108E-2</v>
      </c>
    </row>
    <row r="37" spans="1:26" s="24" customFormat="1" hidden="1" outlineLevel="2" x14ac:dyDescent="0.3">
      <c r="A37" s="27"/>
      <c r="B37" s="11" t="str">
        <f>CONCATENATE("          ", "6119", " - ", "SICK LEAVE")</f>
        <v xml:space="preserve">          6119 - SICK LEAVE</v>
      </c>
      <c r="C37" s="11"/>
      <c r="D37" s="6">
        <v>6415.36</v>
      </c>
      <c r="E37" s="2"/>
      <c r="F37" s="7">
        <f t="shared" si="12"/>
        <v>1.1980064051184179E-2</v>
      </c>
      <c r="G37" s="2"/>
      <c r="H37" s="6">
        <v>7981.7609661538399</v>
      </c>
      <c r="I37" s="2"/>
      <c r="J37" s="7">
        <f t="shared" si="13"/>
        <v>2.4388619218617548E-2</v>
      </c>
      <c r="K37" s="2"/>
      <c r="L37" s="6">
        <f t="shared" si="14"/>
        <v>-1566.4009661538403</v>
      </c>
      <c r="M37" s="2"/>
      <c r="N37" s="7">
        <f t="shared" si="15"/>
        <v>-0.19624754146310144</v>
      </c>
      <c r="O37" s="11"/>
      <c r="P37" s="6">
        <v>12262.95</v>
      </c>
      <c r="Q37" s="2"/>
      <c r="R37" s="7">
        <f t="shared" si="16"/>
        <v>2.1209107746511614E-2</v>
      </c>
      <c r="S37" s="2"/>
      <c r="T37" s="6">
        <v>14385.227798846199</v>
      </c>
      <c r="U37" s="2"/>
      <c r="V37" s="7">
        <f t="shared" si="17"/>
        <v>4.2840080523323276E-2</v>
      </c>
      <c r="W37" s="2"/>
      <c r="X37" s="6">
        <f t="shared" si="18"/>
        <v>-2122.2777988461985</v>
      </c>
      <c r="Y37" s="2"/>
      <c r="Z37" s="7">
        <f t="shared" si="19"/>
        <v>-0.1475317477430855</v>
      </c>
    </row>
    <row r="38" spans="1:26" s="24" customFormat="1" hidden="1" outlineLevel="2" x14ac:dyDescent="0.3">
      <c r="A38" s="27"/>
      <c r="B38" s="11" t="str">
        <f>CONCATENATE("          ", "6156", " - ", "EMPLOYEE MEALS")</f>
        <v xml:space="preserve">          6156 - EMPLOYEE MEALS</v>
      </c>
      <c r="C38" s="11"/>
      <c r="D38" s="6">
        <v>3623.24</v>
      </c>
      <c r="E38" s="2"/>
      <c r="F38" s="7">
        <f t="shared" si="12"/>
        <v>6.7660501160983263E-3</v>
      </c>
      <c r="G38" s="2"/>
      <c r="H38" s="6">
        <v>6161</v>
      </c>
      <c r="I38" s="2"/>
      <c r="J38" s="7">
        <f t="shared" si="13"/>
        <v>1.88252045686489E-2</v>
      </c>
      <c r="K38" s="2"/>
      <c r="L38" s="6">
        <f t="shared" si="14"/>
        <v>-2537.7600000000002</v>
      </c>
      <c r="M38" s="2"/>
      <c r="N38" s="7">
        <f t="shared" si="15"/>
        <v>-0.4119071579289077</v>
      </c>
      <c r="O38" s="11"/>
      <c r="P38" s="6">
        <v>7037.41</v>
      </c>
      <c r="Q38" s="2"/>
      <c r="R38" s="7">
        <f t="shared" si="16"/>
        <v>1.2171393257444438E-2</v>
      </c>
      <c r="S38" s="2"/>
      <c r="T38" s="6">
        <v>11986</v>
      </c>
      <c r="U38" s="2"/>
      <c r="V38" s="7">
        <f t="shared" si="17"/>
        <v>3.5695034679516006E-2</v>
      </c>
      <c r="W38" s="2"/>
      <c r="X38" s="6">
        <f t="shared" si="18"/>
        <v>-4948.59</v>
      </c>
      <c r="Y38" s="2"/>
      <c r="Z38" s="7">
        <f t="shared" si="19"/>
        <v>-0.4128641748706825</v>
      </c>
    </row>
    <row r="39" spans="1:26" s="28" customFormat="1" outlineLevel="1" collapsed="1" x14ac:dyDescent="0.3">
      <c r="A39" s="29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200137.06</v>
      </c>
      <c r="E39" s="1"/>
      <c r="F39" s="5">
        <f t="shared" ref="F39:F49" si="20">IF(D$12=0,0,D39/D$12)</f>
        <v>0.37373659433230422</v>
      </c>
      <c r="G39" s="1"/>
      <c r="H39" s="1">
        <f>SUM(OSRRefH22_1x_0)</f>
        <v>263655.99665384612</v>
      </c>
      <c r="I39" s="1"/>
      <c r="J39" s="5">
        <f t="shared" ref="J39:J49" si="21">IF(H$12=0,0,H39/H$12)</f>
        <v>0.80561241239403714</v>
      </c>
      <c r="K39" s="1"/>
      <c r="L39" s="1">
        <f t="shared" ref="L39:L49" si="22">+D39-H39</f>
        <v>-63518.936653846118</v>
      </c>
      <c r="M39" s="1"/>
      <c r="N39" s="5">
        <f t="shared" ref="N39:N49" si="23">IF(H39=0,0,L39/H39)</f>
        <v>-0.24091595662525406</v>
      </c>
      <c r="O39" s="14"/>
      <c r="P39" s="1">
        <f>SUM(OSRRefP22_1x_0)</f>
        <v>352935.55</v>
      </c>
      <c r="Q39" s="1"/>
      <c r="R39" s="5">
        <f t="shared" ref="R39:R49" si="24">IF(P$12=0,0,P39/P$12)</f>
        <v>0.61041169600498546</v>
      </c>
      <c r="S39" s="1"/>
      <c r="T39" s="1">
        <f>SUM(OSRRefT22_1x_0)</f>
        <v>471787.75747115328</v>
      </c>
      <c r="U39" s="1"/>
      <c r="V39" s="5">
        <f t="shared" ref="V39:V49" si="25">IF(T$12=0,0,T39/T$12)</f>
        <v>1.4050125449944855</v>
      </c>
      <c r="W39" s="1"/>
      <c r="X39" s="1">
        <f t="shared" ref="X39:X49" si="26">+P39-T39</f>
        <v>-118852.20747115329</v>
      </c>
      <c r="Y39" s="1"/>
      <c r="Z39" s="5">
        <f t="shared" ref="Z39:Z49" si="27">IF(T39=0,0,X39/T39)</f>
        <v>-0.25191880371847147</v>
      </c>
    </row>
    <row r="40" spans="1:26" s="24" customFormat="1" hidden="1" outlineLevel="2" x14ac:dyDescent="0.3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>
        <v>17814.96</v>
      </c>
      <c r="E40" s="2"/>
      <c r="F40" s="7">
        <f t="shared" si="20"/>
        <v>3.3267714028407461E-2</v>
      </c>
      <c r="G40" s="2"/>
      <c r="H40" s="6">
        <v>10268.307692307701</v>
      </c>
      <c r="I40" s="2"/>
      <c r="J40" s="7">
        <f t="shared" si="21"/>
        <v>3.1375262600474525E-2</v>
      </c>
      <c r="K40" s="2"/>
      <c r="L40" s="6">
        <f t="shared" si="22"/>
        <v>7546.6523076922986</v>
      </c>
      <c r="M40" s="2"/>
      <c r="N40" s="7">
        <f t="shared" si="23"/>
        <v>0.73494606256742034</v>
      </c>
      <c r="O40" s="11"/>
      <c r="P40" s="6">
        <v>42850.78</v>
      </c>
      <c r="Q40" s="2"/>
      <c r="R40" s="7">
        <f t="shared" si="24"/>
        <v>7.4111597131364379E-2</v>
      </c>
      <c r="S40" s="2"/>
      <c r="T40" s="6">
        <v>23103.692307692301</v>
      </c>
      <c r="U40" s="2"/>
      <c r="V40" s="7">
        <f t="shared" si="25"/>
        <v>6.8804196408138146E-2</v>
      </c>
      <c r="W40" s="2"/>
      <c r="X40" s="6">
        <f t="shared" si="26"/>
        <v>19747.087692307698</v>
      </c>
      <c r="Y40" s="2"/>
      <c r="Z40" s="7">
        <f t="shared" si="27"/>
        <v>0.85471566316406344</v>
      </c>
    </row>
    <row r="41" spans="1:26" s="24" customFormat="1" hidden="1" outlineLevel="2" x14ac:dyDescent="0.3">
      <c r="A41" s="27"/>
      <c r="B41" s="11" t="str">
        <f>CONCATENATE("          ", "6002", " - ", "STAFF SALARIES")</f>
        <v xml:space="preserve">          6002 - STAFF SALARIES</v>
      </c>
      <c r="C41" s="11"/>
      <c r="D41" s="6">
        <v>52220.07</v>
      </c>
      <c r="E41" s="2"/>
      <c r="F41" s="7">
        <f t="shared" si="20"/>
        <v>9.7515927922567303E-2</v>
      </c>
      <c r="G41" s="2"/>
      <c r="H41" s="6">
        <v>56764.480161538399</v>
      </c>
      <c r="I41" s="2"/>
      <c r="J41" s="7">
        <f t="shared" si="21"/>
        <v>0.17344634820223542</v>
      </c>
      <c r="K41" s="2"/>
      <c r="L41" s="6">
        <f t="shared" si="22"/>
        <v>-4544.4101615383988</v>
      </c>
      <c r="M41" s="2"/>
      <c r="N41" s="7">
        <f t="shared" si="23"/>
        <v>-8.0057284918422109E-2</v>
      </c>
      <c r="O41" s="11"/>
      <c r="P41" s="6">
        <v>111067.53</v>
      </c>
      <c r="Q41" s="2"/>
      <c r="R41" s="7">
        <f t="shared" si="24"/>
        <v>0.19209433381926133</v>
      </c>
      <c r="S41" s="2"/>
      <c r="T41" s="6">
        <v>127720.08036346101</v>
      </c>
      <c r="U41" s="2"/>
      <c r="V41" s="7">
        <f t="shared" si="25"/>
        <v>0.38035814265345502</v>
      </c>
      <c r="W41" s="2"/>
      <c r="X41" s="6">
        <f t="shared" si="26"/>
        <v>-16652.550363461007</v>
      </c>
      <c r="Y41" s="2"/>
      <c r="Z41" s="7">
        <f t="shared" si="27"/>
        <v>-0.130383181063399</v>
      </c>
    </row>
    <row r="42" spans="1:26" s="24" customFormat="1" hidden="1" outlineLevel="2" x14ac:dyDescent="0.3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"6004", " - ", "STAFF HOURLY")</f>
        <v xml:space="preserve">          6004 - STAFF HOURLY</v>
      </c>
      <c r="C43" s="11"/>
      <c r="D43" s="6">
        <v>56820.800000000003</v>
      </c>
      <c r="E43" s="2"/>
      <c r="F43" s="7">
        <f t="shared" si="20"/>
        <v>0.10610734603194927</v>
      </c>
      <c r="G43" s="2"/>
      <c r="H43" s="6">
        <v>103995.1388</v>
      </c>
      <c r="I43" s="2"/>
      <c r="J43" s="7">
        <f t="shared" si="21"/>
        <v>0.31776168837121188</v>
      </c>
      <c r="K43" s="2"/>
      <c r="L43" s="6">
        <f t="shared" si="22"/>
        <v>-47174.338799999998</v>
      </c>
      <c r="M43" s="2"/>
      <c r="N43" s="7">
        <f t="shared" si="23"/>
        <v>-0.45362061481281468</v>
      </c>
      <c r="O43" s="11"/>
      <c r="P43" s="6">
        <v>103016.95</v>
      </c>
      <c r="Q43" s="2"/>
      <c r="R43" s="7">
        <f t="shared" si="24"/>
        <v>0.17817063530936678</v>
      </c>
      <c r="S43" s="2"/>
      <c r="T43" s="6">
        <v>227887.77480000001</v>
      </c>
      <c r="U43" s="2"/>
      <c r="V43" s="7">
        <f t="shared" si="25"/>
        <v>0.67866360958816407</v>
      </c>
      <c r="W43" s="2"/>
      <c r="X43" s="6">
        <f t="shared" si="26"/>
        <v>-124870.82480000002</v>
      </c>
      <c r="Y43" s="2"/>
      <c r="Z43" s="7">
        <f t="shared" si="27"/>
        <v>-0.54794876517439239</v>
      </c>
    </row>
    <row r="44" spans="1:26" s="24" customFormat="1" hidden="1" outlineLevel="2" x14ac:dyDescent="0.3">
      <c r="A44" s="27"/>
      <c r="B44" s="11" t="str">
        <f>CONCATENATE("          ", "6005", " - ", "TEMPORARY WAGES-HOURLY")</f>
        <v xml:space="preserve">          6005 - TEMPORARY WAGES-HOURLY</v>
      </c>
      <c r="C44" s="11"/>
      <c r="D44" s="6">
        <v>19916.96</v>
      </c>
      <c r="E44" s="2"/>
      <c r="F44" s="7">
        <f t="shared" si="20"/>
        <v>3.7192995639351994E-2</v>
      </c>
      <c r="G44" s="2"/>
      <c r="H44" s="6">
        <v>25573.08</v>
      </c>
      <c r="I44" s="2"/>
      <c r="J44" s="7">
        <f t="shared" si="21"/>
        <v>7.8139662790200265E-2</v>
      </c>
      <c r="K44" s="2"/>
      <c r="L44" s="6">
        <f t="shared" si="22"/>
        <v>-5656.1200000000026</v>
      </c>
      <c r="M44" s="2"/>
      <c r="N44" s="7">
        <f t="shared" si="23"/>
        <v>-0.2211747665904929</v>
      </c>
      <c r="O44" s="11"/>
      <c r="P44" s="6">
        <v>27896.23</v>
      </c>
      <c r="Q44" s="2"/>
      <c r="R44" s="7">
        <f t="shared" si="24"/>
        <v>4.8247293497198439E-2</v>
      </c>
      <c r="S44" s="2"/>
      <c r="T44" s="6">
        <v>26021.22</v>
      </c>
      <c r="U44" s="2"/>
      <c r="V44" s="7">
        <f t="shared" si="25"/>
        <v>7.7492770757827095E-2</v>
      </c>
      <c r="W44" s="2"/>
      <c r="X44" s="6">
        <f t="shared" si="26"/>
        <v>1875.0099999999984</v>
      </c>
      <c r="Y44" s="2"/>
      <c r="Z44" s="7">
        <f t="shared" si="27"/>
        <v>7.205695966599561E-2</v>
      </c>
    </row>
    <row r="45" spans="1:26" s="24" customFormat="1" hidden="1" outlineLevel="2" x14ac:dyDescent="0.3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"6007", " - ", "STUDENT HOURLY")</f>
        <v xml:space="preserve">          6007 - STUDENT HOURLY</v>
      </c>
      <c r="C46" s="11"/>
      <c r="D46" s="6">
        <v>51734.81</v>
      </c>
      <c r="E46" s="2"/>
      <c r="F46" s="7">
        <f t="shared" si="20"/>
        <v>9.6609751826217657E-2</v>
      </c>
      <c r="G46" s="2"/>
      <c r="H46" s="6">
        <v>49194.21</v>
      </c>
      <c r="I46" s="2"/>
      <c r="J46" s="7">
        <f t="shared" si="21"/>
        <v>0.15031505710811124</v>
      </c>
      <c r="K46" s="2"/>
      <c r="L46" s="6">
        <f t="shared" si="22"/>
        <v>2540.5999999999985</v>
      </c>
      <c r="M46" s="2"/>
      <c r="N46" s="7">
        <f t="shared" si="23"/>
        <v>5.1644289033201236E-2</v>
      </c>
      <c r="O46" s="11"/>
      <c r="P46" s="6">
        <v>66474.600000000006</v>
      </c>
      <c r="Q46" s="2"/>
      <c r="R46" s="7">
        <f t="shared" si="24"/>
        <v>0.11496964056823691</v>
      </c>
      <c r="S46" s="2"/>
      <c r="T46" s="6">
        <v>49194.21</v>
      </c>
      <c r="U46" s="2"/>
      <c r="V46" s="7">
        <f t="shared" si="25"/>
        <v>0.14650333989499359</v>
      </c>
      <c r="W46" s="2"/>
      <c r="X46" s="6">
        <f t="shared" si="26"/>
        <v>17280.390000000007</v>
      </c>
      <c r="Y46" s="2"/>
      <c r="Z46" s="7">
        <f t="shared" si="27"/>
        <v>0.35126877736221412</v>
      </c>
    </row>
    <row r="47" spans="1:26" s="24" customFormat="1" hidden="1" outlineLevel="2" x14ac:dyDescent="0.3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>
        <v>1629.46</v>
      </c>
      <c r="E47" s="2"/>
      <c r="F47" s="7">
        <f t="shared" si="20"/>
        <v>3.0428588838105068E-3</v>
      </c>
      <c r="G47" s="2"/>
      <c r="H47" s="6">
        <v>17860.78</v>
      </c>
      <c r="I47" s="2"/>
      <c r="J47" s="7">
        <f t="shared" si="21"/>
        <v>5.4574393321803742E-2</v>
      </c>
      <c r="K47" s="2"/>
      <c r="L47" s="6">
        <f t="shared" si="22"/>
        <v>-16231.32</v>
      </c>
      <c r="M47" s="2"/>
      <c r="N47" s="7">
        <f t="shared" si="23"/>
        <v>-0.9087688219663419</v>
      </c>
      <c r="O47" s="11"/>
      <c r="P47" s="6">
        <v>1629.46</v>
      </c>
      <c r="Q47" s="2"/>
      <c r="R47" s="7">
        <f t="shared" si="24"/>
        <v>2.818195679557595E-3</v>
      </c>
      <c r="S47" s="2"/>
      <c r="T47" s="6">
        <v>17860.78</v>
      </c>
      <c r="U47" s="2"/>
      <c r="V47" s="7">
        <f t="shared" si="25"/>
        <v>5.3190485691907714E-2</v>
      </c>
      <c r="W47" s="2"/>
      <c r="X47" s="6">
        <f t="shared" si="26"/>
        <v>-16231.32</v>
      </c>
      <c r="Y47" s="2"/>
      <c r="Z47" s="7">
        <f t="shared" si="27"/>
        <v>-0.9087688219663419</v>
      </c>
    </row>
    <row r="48" spans="1:26" s="24" customFormat="1" hidden="1" outlineLevel="2" x14ac:dyDescent="0.3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3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8" customFormat="1" outlineLevel="1" collapsed="1" x14ac:dyDescent="0.3">
      <c r="A50" s="29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2018.7</v>
      </c>
      <c r="E50" s="1"/>
      <c r="F50" s="5">
        <f t="shared" ref="F50:F58" si="28">IF(D$12=0,0,D50/D$12)</f>
        <v>3.7697269210341276E-3</v>
      </c>
      <c r="G50" s="1"/>
      <c r="H50" s="1">
        <f>SUM(OSRRefH22_2x_0)</f>
        <v>1688</v>
      </c>
      <c r="I50" s="1"/>
      <c r="J50" s="5">
        <f t="shared" ref="J50:J58" si="29">IF(H$12=0,0,H50/H$12)</f>
        <v>5.1577577198310895E-3</v>
      </c>
      <c r="K50" s="1"/>
      <c r="L50" s="1">
        <f t="shared" ref="L50:L58" si="30">+D50-H50</f>
        <v>330.70000000000005</v>
      </c>
      <c r="M50" s="1"/>
      <c r="N50" s="5">
        <f t="shared" ref="N50:N58" si="31">IF(H50=0,0,L50/H50)</f>
        <v>0.19591232227488153</v>
      </c>
      <c r="O50" s="14"/>
      <c r="P50" s="1">
        <f>SUM(OSRRefP22_2x_0)</f>
        <v>2564.4299999999998</v>
      </c>
      <c r="Q50" s="1"/>
      <c r="R50" s="5">
        <f t="shared" ref="R50:R58" si="32">IF(P$12=0,0,P50/P$12)</f>
        <v>4.4352518911344148E-3</v>
      </c>
      <c r="S50" s="1"/>
      <c r="T50" s="1">
        <f>SUM(OSRRefT22_2x_0)</f>
        <v>2638</v>
      </c>
      <c r="U50" s="1"/>
      <c r="V50" s="5">
        <f t="shared" ref="V50:V58" si="33">IF(T$12=0,0,T50/T$12)</f>
        <v>7.8561239349710689E-3</v>
      </c>
      <c r="W50" s="1"/>
      <c r="X50" s="1">
        <f t="shared" ref="X50:X58" si="34">+P50-T50</f>
        <v>-73.570000000000164</v>
      </c>
      <c r="Y50" s="1"/>
      <c r="Z50" s="5">
        <f t="shared" ref="Z50:Z58" si="35">IF(T50=0,0,X50/T50)</f>
        <v>-2.7888551933282851E-2</v>
      </c>
    </row>
    <row r="51" spans="1:26" s="24" customFormat="1" hidden="1" outlineLevel="2" x14ac:dyDescent="0.3">
      <c r="A51" s="27"/>
      <c r="B51" s="11" t="str">
        <f>CONCATENATE("          ", "6362", " - ", "ADVERTISING EXPENSE")</f>
        <v xml:space="preserve">          6362 - ADVERTISING EXPENSE</v>
      </c>
      <c r="C51" s="11"/>
      <c r="D51" s="6">
        <v>2018.7</v>
      </c>
      <c r="E51" s="2"/>
      <c r="F51" s="7">
        <f t="shared" si="28"/>
        <v>3.7697269210341276E-3</v>
      </c>
      <c r="G51" s="2"/>
      <c r="H51" s="6">
        <v>1688</v>
      </c>
      <c r="I51" s="2"/>
      <c r="J51" s="7">
        <f t="shared" si="29"/>
        <v>5.1577577198310895E-3</v>
      </c>
      <c r="K51" s="2"/>
      <c r="L51" s="6">
        <f t="shared" si="30"/>
        <v>330.70000000000005</v>
      </c>
      <c r="M51" s="2"/>
      <c r="N51" s="7">
        <f t="shared" si="31"/>
        <v>0.19591232227488153</v>
      </c>
      <c r="O51" s="11"/>
      <c r="P51" s="6">
        <v>2564.4299999999998</v>
      </c>
      <c r="Q51" s="2"/>
      <c r="R51" s="7">
        <f t="shared" si="32"/>
        <v>4.4352518911344148E-3</v>
      </c>
      <c r="S51" s="2"/>
      <c r="T51" s="6">
        <v>2638</v>
      </c>
      <c r="U51" s="2"/>
      <c r="V51" s="7">
        <f t="shared" si="33"/>
        <v>7.8561239349710689E-3</v>
      </c>
      <c r="W51" s="2"/>
      <c r="X51" s="6">
        <f t="shared" si="34"/>
        <v>-73.570000000000164</v>
      </c>
      <c r="Y51" s="2"/>
      <c r="Z51" s="7">
        <f t="shared" si="35"/>
        <v>-2.7888551933282851E-2</v>
      </c>
    </row>
    <row r="52" spans="1:26" s="28" customFormat="1" outlineLevel="1" collapsed="1" x14ac:dyDescent="0.3">
      <c r="A52" s="29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-88.22</v>
      </c>
      <c r="E52" s="1"/>
      <c r="F52" s="5">
        <f t="shared" si="28"/>
        <v>-1.647423138522964E-4</v>
      </c>
      <c r="G52" s="1"/>
      <c r="H52" s="1">
        <f>SUM(OSRRefH22_3x_0)</f>
        <v>43</v>
      </c>
      <c r="I52" s="1"/>
      <c r="J52" s="5">
        <f t="shared" si="29"/>
        <v>1.3138837793408582E-4</v>
      </c>
      <c r="K52" s="1"/>
      <c r="L52" s="1">
        <f t="shared" si="30"/>
        <v>-131.22</v>
      </c>
      <c r="M52" s="1"/>
      <c r="N52" s="5">
        <f t="shared" si="31"/>
        <v>-3.0516279069767442</v>
      </c>
      <c r="O52" s="14"/>
      <c r="P52" s="1">
        <f>SUM(OSRRefP22_3x_0)</f>
        <v>-107.24</v>
      </c>
      <c r="Q52" s="1"/>
      <c r="R52" s="5">
        <f t="shared" si="32"/>
        <v>-1.8547451589836909E-4</v>
      </c>
      <c r="S52" s="1"/>
      <c r="T52" s="1">
        <f>SUM(OSRRefT22_3x_0)</f>
        <v>68</v>
      </c>
      <c r="U52" s="1"/>
      <c r="V52" s="5">
        <f t="shared" si="33"/>
        <v>2.0250812266036112E-4</v>
      </c>
      <c r="W52" s="1"/>
      <c r="X52" s="1">
        <f t="shared" si="34"/>
        <v>-175.24</v>
      </c>
      <c r="Y52" s="1"/>
      <c r="Z52" s="5">
        <f t="shared" si="35"/>
        <v>-2.5770588235294118</v>
      </c>
    </row>
    <row r="53" spans="1:26" s="24" customFormat="1" hidden="1" outlineLevel="2" x14ac:dyDescent="0.3">
      <c r="A53" s="27"/>
      <c r="B53" s="11" t="str">
        <f>CONCATENATE("          ", "6272", " - ", "CASH (OVER/SHORT)")</f>
        <v xml:space="preserve">          6272 - CASH (OVER/SHORT)</v>
      </c>
      <c r="C53" s="11"/>
      <c r="D53" s="6">
        <v>-88.22</v>
      </c>
      <c r="E53" s="2"/>
      <c r="F53" s="7">
        <f t="shared" si="28"/>
        <v>-1.647423138522964E-4</v>
      </c>
      <c r="G53" s="2"/>
      <c r="H53" s="6">
        <v>43</v>
      </c>
      <c r="I53" s="2"/>
      <c r="J53" s="7">
        <f t="shared" si="29"/>
        <v>1.3138837793408582E-4</v>
      </c>
      <c r="K53" s="2"/>
      <c r="L53" s="6">
        <f t="shared" si="30"/>
        <v>-131.22</v>
      </c>
      <c r="M53" s="2"/>
      <c r="N53" s="7">
        <f t="shared" si="31"/>
        <v>-3.0516279069767442</v>
      </c>
      <c r="O53" s="11"/>
      <c r="P53" s="6">
        <v>-107.24</v>
      </c>
      <c r="Q53" s="2"/>
      <c r="R53" s="7">
        <f t="shared" si="32"/>
        <v>-1.8547451589836909E-4</v>
      </c>
      <c r="S53" s="2"/>
      <c r="T53" s="6">
        <v>68</v>
      </c>
      <c r="U53" s="2"/>
      <c r="V53" s="7">
        <f t="shared" si="33"/>
        <v>2.0250812266036112E-4</v>
      </c>
      <c r="W53" s="2"/>
      <c r="X53" s="6">
        <f t="shared" si="34"/>
        <v>-175.24</v>
      </c>
      <c r="Y53" s="2"/>
      <c r="Z53" s="7">
        <f t="shared" si="35"/>
        <v>-2.5770588235294118</v>
      </c>
    </row>
    <row r="54" spans="1:26" s="28" customFormat="1" outlineLevel="1" collapsed="1" x14ac:dyDescent="0.3">
      <c r="A54" s="29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2463.14</v>
      </c>
      <c r="E54" s="1"/>
      <c r="F54" s="5">
        <f t="shared" si="28"/>
        <v>4.599675617117948E-3</v>
      </c>
      <c r="G54" s="1"/>
      <c r="H54" s="1">
        <f>SUM(OSRRefH22_4x_0)</f>
        <v>3169</v>
      </c>
      <c r="I54" s="1"/>
      <c r="J54" s="5">
        <f t="shared" si="29"/>
        <v>9.6830178993748354E-3</v>
      </c>
      <c r="K54" s="1"/>
      <c r="L54" s="1">
        <f t="shared" si="30"/>
        <v>-705.86000000000013</v>
      </c>
      <c r="M54" s="1"/>
      <c r="N54" s="5">
        <f t="shared" si="31"/>
        <v>-0.22273903439570847</v>
      </c>
      <c r="O54" s="14"/>
      <c r="P54" s="1">
        <f>SUM(OSRRefP22_4x_0)</f>
        <v>3473.44</v>
      </c>
      <c r="Q54" s="1"/>
      <c r="R54" s="5">
        <f t="shared" si="32"/>
        <v>6.0074095720070043E-3</v>
      </c>
      <c r="S54" s="1"/>
      <c r="T54" s="1">
        <f>SUM(OSRRefT22_4x_0)</f>
        <v>4659</v>
      </c>
      <c r="U54" s="1"/>
      <c r="V54" s="5">
        <f t="shared" si="33"/>
        <v>1.3874784462862095E-2</v>
      </c>
      <c r="W54" s="1"/>
      <c r="X54" s="1">
        <f t="shared" si="34"/>
        <v>-1185.56</v>
      </c>
      <c r="Y54" s="1"/>
      <c r="Z54" s="5">
        <f t="shared" si="35"/>
        <v>-0.25446662373899975</v>
      </c>
    </row>
    <row r="55" spans="1:26" s="24" customFormat="1" hidden="1" outlineLevel="2" x14ac:dyDescent="0.3">
      <c r="A55" s="27"/>
      <c r="B55" s="11" t="str">
        <f>CONCATENATE("          ", "6381", " - ", "BANK/CREDIT CARD FEES")</f>
        <v xml:space="preserve">          6381 - BANK/CREDIT CARD FEES</v>
      </c>
      <c r="C55" s="11"/>
      <c r="D55" s="6">
        <v>2463.14</v>
      </c>
      <c r="E55" s="2"/>
      <c r="F55" s="7">
        <f t="shared" si="28"/>
        <v>4.599675617117948E-3</v>
      </c>
      <c r="G55" s="2"/>
      <c r="H55" s="6">
        <v>3169</v>
      </c>
      <c r="I55" s="2"/>
      <c r="J55" s="7">
        <f t="shared" si="29"/>
        <v>9.6830178993748354E-3</v>
      </c>
      <c r="K55" s="2"/>
      <c r="L55" s="6">
        <f t="shared" si="30"/>
        <v>-705.86000000000013</v>
      </c>
      <c r="M55" s="2"/>
      <c r="N55" s="7">
        <f t="shared" si="31"/>
        <v>-0.22273903439570847</v>
      </c>
      <c r="O55" s="11"/>
      <c r="P55" s="6">
        <v>3473.44</v>
      </c>
      <c r="Q55" s="2"/>
      <c r="R55" s="7">
        <f t="shared" si="32"/>
        <v>6.0074095720070043E-3</v>
      </c>
      <c r="S55" s="2"/>
      <c r="T55" s="6">
        <v>4659</v>
      </c>
      <c r="U55" s="2"/>
      <c r="V55" s="7">
        <f t="shared" si="33"/>
        <v>1.3874784462862095E-2</v>
      </c>
      <c r="W55" s="2"/>
      <c r="X55" s="6">
        <f t="shared" si="34"/>
        <v>-1185.56</v>
      </c>
      <c r="Y55" s="2"/>
      <c r="Z55" s="7">
        <f t="shared" si="35"/>
        <v>-0.25446662373899975</v>
      </c>
    </row>
    <row r="56" spans="1:26" s="28" customFormat="1" outlineLevel="1" collapsed="1" x14ac:dyDescent="0.3">
      <c r="A56" s="29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SUM(OSRRefD22_5x_0)</f>
        <v>33586.15</v>
      </c>
      <c r="E56" s="1"/>
      <c r="F56" s="5">
        <f t="shared" si="28"/>
        <v>6.2718885336548458E-2</v>
      </c>
      <c r="G56" s="1"/>
      <c r="H56" s="1">
        <f>SUM(OSRRefH22_5x_0)</f>
        <v>33313</v>
      </c>
      <c r="I56" s="1"/>
      <c r="J56" s="5">
        <f t="shared" si="29"/>
        <v>0.10178932637484188</v>
      </c>
      <c r="K56" s="1"/>
      <c r="L56" s="1">
        <f t="shared" si="30"/>
        <v>273.15000000000146</v>
      </c>
      <c r="M56" s="1"/>
      <c r="N56" s="5">
        <f t="shared" si="31"/>
        <v>8.1995016960346254E-3</v>
      </c>
      <c r="O56" s="14"/>
      <c r="P56" s="1">
        <f>SUM(OSRRefP22_5x_0)</f>
        <v>67172.3</v>
      </c>
      <c r="Q56" s="1"/>
      <c r="R56" s="5">
        <f t="shared" si="32"/>
        <v>0.11617633181909752</v>
      </c>
      <c r="S56" s="1"/>
      <c r="T56" s="1">
        <f>SUM(OSRRefT22_5x_0)</f>
        <v>66626</v>
      </c>
      <c r="U56" s="1"/>
      <c r="V56" s="5">
        <f t="shared" si="33"/>
        <v>0.19841626735837087</v>
      </c>
      <c r="W56" s="1"/>
      <c r="X56" s="1">
        <f t="shared" si="34"/>
        <v>546.30000000000291</v>
      </c>
      <c r="Y56" s="1"/>
      <c r="Z56" s="5">
        <f t="shared" si="35"/>
        <v>8.1995016960346254E-3</v>
      </c>
    </row>
    <row r="57" spans="1:26" s="24" customFormat="1" hidden="1" outlineLevel="2" x14ac:dyDescent="0.3">
      <c r="A57" s="27"/>
      <c r="B57" s="11" t="str">
        <f>CONCATENATE("          ", "6321", " - ", "BUILDING DEPRECIATION")</f>
        <v xml:space="preserve">          6321 - BUILDING DEPRECIATION</v>
      </c>
      <c r="C57" s="11"/>
      <c r="D57" s="6">
        <v>23583.47</v>
      </c>
      <c r="E57" s="2"/>
      <c r="F57" s="7">
        <f t="shared" si="28"/>
        <v>4.403984829365469E-2</v>
      </c>
      <c r="G57" s="2"/>
      <c r="H57" s="6"/>
      <c r="I57" s="2"/>
      <c r="J57" s="7">
        <f t="shared" si="29"/>
        <v>0</v>
      </c>
      <c r="K57" s="2"/>
      <c r="L57" s="6">
        <f t="shared" si="30"/>
        <v>23583.47</v>
      </c>
      <c r="M57" s="2"/>
      <c r="N57" s="7">
        <f t="shared" si="31"/>
        <v>0</v>
      </c>
      <c r="O57" s="11"/>
      <c r="P57" s="6">
        <v>47166.94</v>
      </c>
      <c r="Q57" s="2"/>
      <c r="R57" s="7">
        <f t="shared" si="32"/>
        <v>8.1576514014429516E-2</v>
      </c>
      <c r="S57" s="2"/>
      <c r="T57" s="6"/>
      <c r="U57" s="2"/>
      <c r="V57" s="7">
        <f t="shared" si="33"/>
        <v>0</v>
      </c>
      <c r="W57" s="2"/>
      <c r="X57" s="6">
        <f t="shared" si="34"/>
        <v>47166.94</v>
      </c>
      <c r="Y57" s="2"/>
      <c r="Z57" s="7">
        <f t="shared" si="35"/>
        <v>0</v>
      </c>
    </row>
    <row r="58" spans="1:26" s="24" customFormat="1" hidden="1" outlineLevel="2" x14ac:dyDescent="0.3">
      <c r="A58" s="27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10002.68</v>
      </c>
      <c r="E58" s="2"/>
      <c r="F58" s="7">
        <f t="shared" si="28"/>
        <v>1.8679037042893767E-2</v>
      </c>
      <c r="G58" s="2"/>
      <c r="H58" s="6">
        <v>33313</v>
      </c>
      <c r="I58" s="2"/>
      <c r="J58" s="7">
        <f t="shared" si="29"/>
        <v>0.10178932637484188</v>
      </c>
      <c r="K58" s="2"/>
      <c r="L58" s="6">
        <f t="shared" si="30"/>
        <v>-23310.32</v>
      </c>
      <c r="M58" s="2"/>
      <c r="N58" s="7">
        <f t="shared" si="31"/>
        <v>-0.69973643922792905</v>
      </c>
      <c r="O58" s="11"/>
      <c r="P58" s="6">
        <v>20005.36</v>
      </c>
      <c r="Q58" s="2"/>
      <c r="R58" s="7">
        <f t="shared" si="32"/>
        <v>3.4599817804668011E-2</v>
      </c>
      <c r="S58" s="2"/>
      <c r="T58" s="6">
        <v>66626</v>
      </c>
      <c r="U58" s="2"/>
      <c r="V58" s="7">
        <f t="shared" si="33"/>
        <v>0.19841626735837087</v>
      </c>
      <c r="W58" s="2"/>
      <c r="X58" s="6">
        <f t="shared" si="34"/>
        <v>-46620.639999999999</v>
      </c>
      <c r="Y58" s="2"/>
      <c r="Z58" s="7">
        <f t="shared" si="35"/>
        <v>-0.69973643922792905</v>
      </c>
    </row>
    <row r="59" spans="1:26" s="28" customFormat="1" outlineLevel="1" collapsed="1" x14ac:dyDescent="0.3">
      <c r="A59" s="29"/>
      <c r="B59" s="14" t="str">
        <f>CONCATENATE("     ","Donations                                         ")</f>
        <v xml:space="preserve">     Donations                                         </v>
      </c>
      <c r="C59" s="14"/>
      <c r="D59" s="1">
        <f>SUM(OSRRefD22_6x_0)</f>
        <v>4261.5600000000004</v>
      </c>
      <c r="E59" s="1"/>
      <c r="F59" s="5">
        <f t="shared" ref="F59:F78" si="36">IF(D$12=0,0,D59/D$12)</f>
        <v>7.9580509523961944E-3</v>
      </c>
      <c r="G59" s="1"/>
      <c r="H59" s="1">
        <f>SUM(OSRRefH22_6x_0)</f>
        <v>15500</v>
      </c>
      <c r="I59" s="1"/>
      <c r="J59" s="5">
        <f t="shared" ref="J59:J78" si="37">IF(H$12=0,0,H59/H$12)</f>
        <v>4.7360926929728604E-2</v>
      </c>
      <c r="K59" s="1"/>
      <c r="L59" s="1">
        <f t="shared" ref="L59:L78" si="38">+D59-H59</f>
        <v>-11238.439999999999</v>
      </c>
      <c r="M59" s="1"/>
      <c r="N59" s="5">
        <f t="shared" ref="N59:N78" si="39">IF(H59=0,0,L59/H59)</f>
        <v>-0.72506064516129021</v>
      </c>
      <c r="O59" s="14"/>
      <c r="P59" s="1">
        <f>SUM(OSRRefP22_6x_0)</f>
        <v>4261.5600000000004</v>
      </c>
      <c r="Q59" s="1"/>
      <c r="R59" s="5">
        <f t="shared" ref="R59:R78" si="40">IF(P$12=0,0,P59/P$12)</f>
        <v>7.3704846882865892E-3</v>
      </c>
      <c r="S59" s="1"/>
      <c r="T59" s="1">
        <f>SUM(OSRRefT22_6x_0)</f>
        <v>15500</v>
      </c>
      <c r="U59" s="1"/>
      <c r="V59" s="5">
        <f t="shared" ref="V59:V78" si="41">IF(T$12=0,0,T59/T$12)</f>
        <v>4.6159939724052905E-2</v>
      </c>
      <c r="W59" s="1"/>
      <c r="X59" s="1">
        <f t="shared" ref="X59:X78" si="42">+P59-T59</f>
        <v>-11238.439999999999</v>
      </c>
      <c r="Y59" s="1"/>
      <c r="Z59" s="5">
        <f t="shared" ref="Z59:Z78" si="43">IF(T59=0,0,X59/T59)</f>
        <v>-0.72506064516129021</v>
      </c>
    </row>
    <row r="60" spans="1:26" s="24" customFormat="1" hidden="1" outlineLevel="2" x14ac:dyDescent="0.3">
      <c r="A60" s="27"/>
      <c r="B60" s="11" t="str">
        <f>CONCATENATE("          ", "6399", " - ", "DONATION-ON CAMPUS")</f>
        <v xml:space="preserve">          6399 - DONATION-ON CAMPUS</v>
      </c>
      <c r="C60" s="11"/>
      <c r="D60" s="6">
        <v>4261.5600000000004</v>
      </c>
      <c r="E60" s="2"/>
      <c r="F60" s="7">
        <f t="shared" si="36"/>
        <v>7.9580509523961944E-3</v>
      </c>
      <c r="G60" s="2"/>
      <c r="H60" s="6">
        <v>15500</v>
      </c>
      <c r="I60" s="2"/>
      <c r="J60" s="7">
        <f t="shared" si="37"/>
        <v>4.7360926929728604E-2</v>
      </c>
      <c r="K60" s="2"/>
      <c r="L60" s="6">
        <f t="shared" si="38"/>
        <v>-11238.439999999999</v>
      </c>
      <c r="M60" s="2"/>
      <c r="N60" s="7">
        <f t="shared" si="39"/>
        <v>-0.72506064516129021</v>
      </c>
      <c r="O60" s="11"/>
      <c r="P60" s="6">
        <v>4261.5600000000004</v>
      </c>
      <c r="Q60" s="2"/>
      <c r="R60" s="7">
        <f t="shared" si="40"/>
        <v>7.3704846882865892E-3</v>
      </c>
      <c r="S60" s="2"/>
      <c r="T60" s="6">
        <v>15500</v>
      </c>
      <c r="U60" s="2"/>
      <c r="V60" s="7">
        <f t="shared" si="41"/>
        <v>4.6159939724052905E-2</v>
      </c>
      <c r="W60" s="2"/>
      <c r="X60" s="6">
        <f t="shared" si="42"/>
        <v>-11238.439999999999</v>
      </c>
      <c r="Y60" s="2"/>
      <c r="Z60" s="7">
        <f t="shared" si="43"/>
        <v>-0.72506064516129021</v>
      </c>
    </row>
    <row r="61" spans="1:26" s="28" customFormat="1" outlineLevel="1" collapsed="1" x14ac:dyDescent="0.3">
      <c r="A61" s="29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SUM(OSRRefD22_7x_0)</f>
        <v>18</v>
      </c>
      <c r="E61" s="1"/>
      <c r="F61" s="5">
        <f t="shared" si="36"/>
        <v>3.3613258323977957E-5</v>
      </c>
      <c r="G61" s="1"/>
      <c r="H61" s="1">
        <f>SUM(OSRRefH22_7x_0)</f>
        <v>240</v>
      </c>
      <c r="I61" s="1"/>
      <c r="J61" s="5">
        <f t="shared" si="37"/>
        <v>7.3333048149257197E-4</v>
      </c>
      <c r="K61" s="1"/>
      <c r="L61" s="1">
        <f t="shared" si="38"/>
        <v>-222</v>
      </c>
      <c r="M61" s="1"/>
      <c r="N61" s="5">
        <f t="shared" si="39"/>
        <v>-0.92500000000000004</v>
      </c>
      <c r="O61" s="14"/>
      <c r="P61" s="1">
        <f>SUM(OSRRefP22_7x_0)</f>
        <v>18</v>
      </c>
      <c r="Q61" s="1"/>
      <c r="R61" s="5">
        <f t="shared" si="40"/>
        <v>3.1131492784135055E-5</v>
      </c>
      <c r="S61" s="1"/>
      <c r="T61" s="1">
        <f>SUM(OSRRefT22_7x_0)</f>
        <v>440</v>
      </c>
      <c r="U61" s="1"/>
      <c r="V61" s="5">
        <f t="shared" si="41"/>
        <v>1.3103466760376308E-3</v>
      </c>
      <c r="W61" s="1"/>
      <c r="X61" s="1">
        <f t="shared" si="42"/>
        <v>-422</v>
      </c>
      <c r="Y61" s="1"/>
      <c r="Z61" s="5">
        <f t="shared" si="43"/>
        <v>-0.95909090909090911</v>
      </c>
    </row>
    <row r="62" spans="1:26" s="24" customFormat="1" hidden="1" outlineLevel="2" x14ac:dyDescent="0.3">
      <c r="A62" s="27"/>
      <c r="B62" s="11" t="str">
        <f>CONCATENATE("          ", "6277", " - ", "EMPLOYEE APPRECIATION")</f>
        <v xml:space="preserve">          6277 - EMPLOYEE APPRECIATION</v>
      </c>
      <c r="C62" s="11"/>
      <c r="D62" s="6">
        <v>18</v>
      </c>
      <c r="E62" s="2"/>
      <c r="F62" s="7">
        <f t="shared" si="36"/>
        <v>3.3613258323977957E-5</v>
      </c>
      <c r="G62" s="2"/>
      <c r="H62" s="6">
        <v>240</v>
      </c>
      <c r="I62" s="2"/>
      <c r="J62" s="7">
        <f t="shared" si="37"/>
        <v>7.3333048149257197E-4</v>
      </c>
      <c r="K62" s="2"/>
      <c r="L62" s="6">
        <f t="shared" si="38"/>
        <v>-222</v>
      </c>
      <c r="M62" s="2"/>
      <c r="N62" s="7">
        <f t="shared" si="39"/>
        <v>-0.92500000000000004</v>
      </c>
      <c r="O62" s="11"/>
      <c r="P62" s="6">
        <v>18</v>
      </c>
      <c r="Q62" s="2"/>
      <c r="R62" s="7">
        <f t="shared" si="40"/>
        <v>3.1131492784135055E-5</v>
      </c>
      <c r="S62" s="2"/>
      <c r="T62" s="6">
        <v>440</v>
      </c>
      <c r="U62" s="2"/>
      <c r="V62" s="7">
        <f t="shared" si="41"/>
        <v>1.3103466760376308E-3</v>
      </c>
      <c r="W62" s="2"/>
      <c r="X62" s="6">
        <f t="shared" si="42"/>
        <v>-422</v>
      </c>
      <c r="Y62" s="2"/>
      <c r="Z62" s="7">
        <f t="shared" si="43"/>
        <v>-0.95909090909090911</v>
      </c>
    </row>
    <row r="63" spans="1:26" s="28" customFormat="1" outlineLevel="1" collapsed="1" x14ac:dyDescent="0.3">
      <c r="A63" s="29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SUM(OSRRefD22_8x_0)</f>
        <v>5272.12</v>
      </c>
      <c r="E63" s="1"/>
      <c r="F63" s="5">
        <f t="shared" si="36"/>
        <v>9.8451739708339259E-3</v>
      </c>
      <c r="G63" s="1"/>
      <c r="H63" s="1">
        <f>SUM(OSRRefH22_8x_0)</f>
        <v>1570</v>
      </c>
      <c r="I63" s="1"/>
      <c r="J63" s="5">
        <f t="shared" si="37"/>
        <v>4.7972035664305751E-3</v>
      </c>
      <c r="K63" s="1"/>
      <c r="L63" s="1">
        <f t="shared" si="38"/>
        <v>3702.12</v>
      </c>
      <c r="M63" s="1"/>
      <c r="N63" s="5">
        <f t="shared" si="39"/>
        <v>2.3580382165605096</v>
      </c>
      <c r="O63" s="14"/>
      <c r="P63" s="1">
        <f>SUM(OSRRefP22_8x_0)</f>
        <v>6597.58</v>
      </c>
      <c r="Q63" s="1"/>
      <c r="R63" s="5">
        <f t="shared" si="40"/>
        <v>1.1410695231264098E-2</v>
      </c>
      <c r="S63" s="1"/>
      <c r="T63" s="1">
        <f>SUM(OSRRefT22_8x_0)</f>
        <v>3140</v>
      </c>
      <c r="U63" s="1"/>
      <c r="V63" s="5">
        <f t="shared" si="41"/>
        <v>9.3511103699049098E-3</v>
      </c>
      <c r="W63" s="1"/>
      <c r="X63" s="1">
        <f t="shared" si="42"/>
        <v>3457.58</v>
      </c>
      <c r="Y63" s="1"/>
      <c r="Z63" s="5">
        <f t="shared" si="43"/>
        <v>1.1011401273885351</v>
      </c>
    </row>
    <row r="64" spans="1:26" s="24" customFormat="1" hidden="1" outlineLevel="2" x14ac:dyDescent="0.3">
      <c r="A64" s="27"/>
      <c r="B64" s="11" t="str">
        <f>CONCATENATE("          ", "6351", " - ", "EQUIPMENT RENTAL")</f>
        <v xml:space="preserve">          6351 - EQUIPMENT RENTAL</v>
      </c>
      <c r="C64" s="11"/>
      <c r="D64" s="6">
        <v>5272.12</v>
      </c>
      <c r="E64" s="2"/>
      <c r="F64" s="7">
        <f t="shared" si="36"/>
        <v>9.8451739708339259E-3</v>
      </c>
      <c r="G64" s="2"/>
      <c r="H64" s="6">
        <v>1570</v>
      </c>
      <c r="I64" s="2"/>
      <c r="J64" s="7">
        <f t="shared" si="37"/>
        <v>4.7972035664305751E-3</v>
      </c>
      <c r="K64" s="2"/>
      <c r="L64" s="6">
        <f t="shared" si="38"/>
        <v>3702.12</v>
      </c>
      <c r="M64" s="2"/>
      <c r="N64" s="7">
        <f t="shared" si="39"/>
        <v>2.3580382165605096</v>
      </c>
      <c r="O64" s="11"/>
      <c r="P64" s="6">
        <v>6597.58</v>
      </c>
      <c r="Q64" s="2"/>
      <c r="R64" s="7">
        <f t="shared" si="40"/>
        <v>1.1410695231264098E-2</v>
      </c>
      <c r="S64" s="2"/>
      <c r="T64" s="6">
        <v>3140</v>
      </c>
      <c r="U64" s="2"/>
      <c r="V64" s="7">
        <f t="shared" si="41"/>
        <v>9.3511103699049098E-3</v>
      </c>
      <c r="W64" s="2"/>
      <c r="X64" s="6">
        <f t="shared" si="42"/>
        <v>3457.58</v>
      </c>
      <c r="Y64" s="2"/>
      <c r="Z64" s="7">
        <f t="shared" si="43"/>
        <v>1.1011401273885351</v>
      </c>
    </row>
    <row r="65" spans="1:26" s="28" customFormat="1" outlineLevel="1" collapsed="1" x14ac:dyDescent="0.3">
      <c r="A65" s="29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17430.580000000002</v>
      </c>
      <c r="E65" s="1"/>
      <c r="F65" s="5">
        <f t="shared" si="36"/>
        <v>3.2549921570931319E-2</v>
      </c>
      <c r="G65" s="1"/>
      <c r="H65" s="1">
        <f>SUM(OSRRefH22_9x_0)</f>
        <v>530</v>
      </c>
      <c r="I65" s="1"/>
      <c r="J65" s="5">
        <f t="shared" si="37"/>
        <v>1.6194381466294297E-3</v>
      </c>
      <c r="K65" s="1"/>
      <c r="L65" s="1">
        <f t="shared" si="38"/>
        <v>16900.580000000002</v>
      </c>
      <c r="M65" s="1"/>
      <c r="N65" s="5">
        <f t="shared" si="39"/>
        <v>31.887886792452832</v>
      </c>
      <c r="O65" s="14"/>
      <c r="P65" s="1">
        <f>SUM(OSRRefP22_9x_0)</f>
        <v>17924.310000000001</v>
      </c>
      <c r="Q65" s="1"/>
      <c r="R65" s="5">
        <f t="shared" si="40"/>
        <v>3.1000584856977771E-2</v>
      </c>
      <c r="S65" s="1"/>
      <c r="T65" s="1">
        <f>SUM(OSRRefT22_9x_0)</f>
        <v>9215</v>
      </c>
      <c r="U65" s="1"/>
      <c r="V65" s="5">
        <f t="shared" si="41"/>
        <v>2.7442828681106288E-2</v>
      </c>
      <c r="W65" s="1"/>
      <c r="X65" s="1">
        <f t="shared" si="42"/>
        <v>8709.3100000000013</v>
      </c>
      <c r="Y65" s="1"/>
      <c r="Z65" s="5">
        <f t="shared" si="43"/>
        <v>0.94512316874660895</v>
      </c>
    </row>
    <row r="66" spans="1:26" s="24" customFormat="1" hidden="1" outlineLevel="2" x14ac:dyDescent="0.3">
      <c r="A66" s="27"/>
      <c r="B66" s="11" t="str">
        <f>CONCATENATE("          ", "6279", " - ", "GENERAL EXPENSE")</f>
        <v xml:space="preserve">          6279 - GENERAL EXPENSE</v>
      </c>
      <c r="C66" s="11"/>
      <c r="D66" s="6">
        <v>17430.580000000002</v>
      </c>
      <c r="E66" s="2"/>
      <c r="F66" s="7">
        <f t="shared" si="36"/>
        <v>3.2549921570931319E-2</v>
      </c>
      <c r="G66" s="2"/>
      <c r="H66" s="6">
        <v>530</v>
      </c>
      <c r="I66" s="2"/>
      <c r="J66" s="7">
        <f t="shared" si="37"/>
        <v>1.6194381466294297E-3</v>
      </c>
      <c r="K66" s="2"/>
      <c r="L66" s="6">
        <f t="shared" si="38"/>
        <v>16900.580000000002</v>
      </c>
      <c r="M66" s="2"/>
      <c r="N66" s="7">
        <f t="shared" si="39"/>
        <v>31.887886792452832</v>
      </c>
      <c r="O66" s="11"/>
      <c r="P66" s="6">
        <v>17924.310000000001</v>
      </c>
      <c r="Q66" s="2"/>
      <c r="R66" s="7">
        <f t="shared" si="40"/>
        <v>3.1000584856977771E-2</v>
      </c>
      <c r="S66" s="2"/>
      <c r="T66" s="6">
        <v>9215</v>
      </c>
      <c r="U66" s="2"/>
      <c r="V66" s="7">
        <f t="shared" si="41"/>
        <v>2.7442828681106288E-2</v>
      </c>
      <c r="W66" s="2"/>
      <c r="X66" s="6">
        <f t="shared" si="42"/>
        <v>8709.3100000000013</v>
      </c>
      <c r="Y66" s="2"/>
      <c r="Z66" s="7">
        <f t="shared" si="43"/>
        <v>0.94512316874660895</v>
      </c>
    </row>
    <row r="67" spans="1:26" s="28" customFormat="1" outlineLevel="1" collapsed="1" x14ac:dyDescent="0.3">
      <c r="A67" s="29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5761.42</v>
      </c>
      <c r="E67" s="1"/>
      <c r="F67" s="5">
        <f t="shared" si="36"/>
        <v>1.075889437627406E-2</v>
      </c>
      <c r="G67" s="1"/>
      <c r="H67" s="1">
        <f>SUM(OSRRefH22_10x_0)</f>
        <v>5680</v>
      </c>
      <c r="I67" s="1"/>
      <c r="J67" s="5">
        <f t="shared" si="37"/>
        <v>1.735548806199087E-2</v>
      </c>
      <c r="K67" s="1"/>
      <c r="L67" s="1">
        <f t="shared" si="38"/>
        <v>81.420000000000073</v>
      </c>
      <c r="M67" s="1"/>
      <c r="N67" s="5">
        <f t="shared" si="39"/>
        <v>1.4334507042253534E-2</v>
      </c>
      <c r="O67" s="14"/>
      <c r="P67" s="1">
        <f>SUM(OSRRefP22_10x_0)</f>
        <v>11522.85</v>
      </c>
      <c r="Q67" s="1"/>
      <c r="R67" s="5">
        <f t="shared" si="40"/>
        <v>1.9929084534870592E-2</v>
      </c>
      <c r="S67" s="1"/>
      <c r="T67" s="1">
        <f>SUM(OSRRefT22_10x_0)</f>
        <v>11360</v>
      </c>
      <c r="U67" s="1"/>
      <c r="V67" s="5">
        <f t="shared" si="41"/>
        <v>3.3830768726789737E-2</v>
      </c>
      <c r="W67" s="1"/>
      <c r="X67" s="1">
        <f t="shared" si="42"/>
        <v>162.85000000000036</v>
      </c>
      <c r="Y67" s="1"/>
      <c r="Z67" s="5">
        <f t="shared" si="43"/>
        <v>1.4335387323943695E-2</v>
      </c>
    </row>
    <row r="68" spans="1:26" s="24" customFormat="1" hidden="1" outlineLevel="2" x14ac:dyDescent="0.3">
      <c r="A68" s="27"/>
      <c r="B68" s="11" t="str">
        <f>CONCATENATE("          ", "6314", " - ", "LIABILITY INSURANCE")</f>
        <v xml:space="preserve">          6314 - LIABILITY INSURANCE</v>
      </c>
      <c r="C68" s="11"/>
      <c r="D68" s="6">
        <v>5761.42</v>
      </c>
      <c r="E68" s="2"/>
      <c r="F68" s="7">
        <f t="shared" si="36"/>
        <v>1.075889437627406E-2</v>
      </c>
      <c r="G68" s="2"/>
      <c r="H68" s="6">
        <v>5680</v>
      </c>
      <c r="I68" s="2"/>
      <c r="J68" s="7">
        <f t="shared" si="37"/>
        <v>1.735548806199087E-2</v>
      </c>
      <c r="K68" s="2"/>
      <c r="L68" s="6">
        <f t="shared" si="38"/>
        <v>81.420000000000073</v>
      </c>
      <c r="M68" s="2"/>
      <c r="N68" s="7">
        <f t="shared" si="39"/>
        <v>1.4334507042253534E-2</v>
      </c>
      <c r="O68" s="11"/>
      <c r="P68" s="6">
        <v>11522.85</v>
      </c>
      <c r="Q68" s="2"/>
      <c r="R68" s="7">
        <f t="shared" si="40"/>
        <v>1.9929084534870592E-2</v>
      </c>
      <c r="S68" s="2"/>
      <c r="T68" s="6">
        <v>11360</v>
      </c>
      <c r="U68" s="2"/>
      <c r="V68" s="7">
        <f t="shared" si="41"/>
        <v>3.3830768726789737E-2</v>
      </c>
      <c r="W68" s="2"/>
      <c r="X68" s="6">
        <f t="shared" si="42"/>
        <v>162.85000000000036</v>
      </c>
      <c r="Y68" s="2"/>
      <c r="Z68" s="7">
        <f t="shared" si="43"/>
        <v>1.4335387323943695E-2</v>
      </c>
    </row>
    <row r="69" spans="1:26" s="28" customFormat="1" outlineLevel="1" collapsed="1" x14ac:dyDescent="0.3">
      <c r="A69" s="29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7253</v>
      </c>
      <c r="E69" s="1"/>
      <c r="F69" s="5">
        <f t="shared" si="36"/>
        <v>1.3544275701322895E-2</v>
      </c>
      <c r="G69" s="1"/>
      <c r="H69" s="1">
        <f>SUM(OSRRefH22_11x_0)</f>
        <v>7253</v>
      </c>
      <c r="I69" s="1"/>
      <c r="J69" s="5">
        <f t="shared" si="37"/>
        <v>2.2161858259440101E-2</v>
      </c>
      <c r="K69" s="1"/>
      <c r="L69" s="1">
        <f t="shared" si="38"/>
        <v>0</v>
      </c>
      <c r="M69" s="1"/>
      <c r="N69" s="5">
        <f t="shared" si="39"/>
        <v>0</v>
      </c>
      <c r="O69" s="14"/>
      <c r="P69" s="1">
        <f>SUM(OSRRefP22_11x_0)</f>
        <v>14506</v>
      </c>
      <c r="Q69" s="1"/>
      <c r="R69" s="5">
        <f t="shared" si="40"/>
        <v>2.5088524129259063E-2</v>
      </c>
      <c r="S69" s="1"/>
      <c r="T69" s="1">
        <f>SUM(OSRRefT22_11x_0)</f>
        <v>14506</v>
      </c>
      <c r="U69" s="1"/>
      <c r="V69" s="5">
        <f t="shared" si="41"/>
        <v>4.31997474604588E-2</v>
      </c>
      <c r="W69" s="1"/>
      <c r="X69" s="1">
        <f t="shared" si="42"/>
        <v>0</v>
      </c>
      <c r="Y69" s="1"/>
      <c r="Z69" s="5">
        <f t="shared" si="43"/>
        <v>0</v>
      </c>
    </row>
    <row r="70" spans="1:26" s="24" customFormat="1" hidden="1" outlineLevel="2" x14ac:dyDescent="0.3">
      <c r="A70" s="27"/>
      <c r="B70" s="11" t="str">
        <f>CONCATENATE("          ", "6401", " - ", "INTEREST EXPENSE")</f>
        <v xml:space="preserve">          6401 - INTEREST EXPENSE</v>
      </c>
      <c r="C70" s="11"/>
      <c r="D70" s="6">
        <v>7253</v>
      </c>
      <c r="E70" s="2"/>
      <c r="F70" s="7">
        <f t="shared" si="36"/>
        <v>1.3544275701322895E-2</v>
      </c>
      <c r="G70" s="2"/>
      <c r="H70" s="6">
        <v>7253</v>
      </c>
      <c r="I70" s="2"/>
      <c r="J70" s="7">
        <f t="shared" si="37"/>
        <v>2.2161858259440101E-2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14506</v>
      </c>
      <c r="Q70" s="2"/>
      <c r="R70" s="7">
        <f t="shared" si="40"/>
        <v>2.5088524129259063E-2</v>
      </c>
      <c r="S70" s="2"/>
      <c r="T70" s="6">
        <v>14506</v>
      </c>
      <c r="U70" s="2"/>
      <c r="V70" s="7">
        <f t="shared" si="41"/>
        <v>4.31997474604588E-2</v>
      </c>
      <c r="W70" s="2"/>
      <c r="X70" s="6">
        <f t="shared" si="42"/>
        <v>0</v>
      </c>
      <c r="Y70" s="2"/>
      <c r="Z70" s="7">
        <f t="shared" si="43"/>
        <v>0</v>
      </c>
    </row>
    <row r="71" spans="1:26" s="28" customFormat="1" outlineLevel="1" collapsed="1" x14ac:dyDescent="0.3">
      <c r="A71" s="29"/>
      <c r="B71" s="14" t="str">
        <f>CONCATENATE("     ","R/H Commissions                                   ")</f>
        <v xml:space="preserve">     R/H Commissions                                   </v>
      </c>
      <c r="C71" s="14"/>
      <c r="D71" s="1">
        <f>SUM(OSRRefD22_12x_0)</f>
        <v>38588</v>
      </c>
      <c r="E71" s="1"/>
      <c r="F71" s="5">
        <f t="shared" si="36"/>
        <v>7.2059356233647856E-2</v>
      </c>
      <c r="G71" s="1"/>
      <c r="H71" s="1">
        <f>SUM(OSRRefH22_12x_0)</f>
        <v>22579</v>
      </c>
      <c r="I71" s="1"/>
      <c r="J71" s="5">
        <f t="shared" si="37"/>
        <v>6.8991120590086594E-2</v>
      </c>
      <c r="K71" s="1"/>
      <c r="L71" s="1">
        <f t="shared" si="38"/>
        <v>16009</v>
      </c>
      <c r="M71" s="1"/>
      <c r="N71" s="5">
        <f t="shared" si="39"/>
        <v>0.70902165729217415</v>
      </c>
      <c r="O71" s="14"/>
      <c r="P71" s="1">
        <f>SUM(OSRRefP22_12x_0)</f>
        <v>40156</v>
      </c>
      <c r="Q71" s="1"/>
      <c r="R71" s="5">
        <f t="shared" si="40"/>
        <v>6.9450901346651522E-2</v>
      </c>
      <c r="S71" s="1"/>
      <c r="T71" s="1">
        <f>SUM(OSRRefT22_12x_0)</f>
        <v>22579</v>
      </c>
      <c r="U71" s="1"/>
      <c r="V71" s="5">
        <f t="shared" si="41"/>
        <v>6.724163090512196E-2</v>
      </c>
      <c r="W71" s="1"/>
      <c r="X71" s="1">
        <f t="shared" si="42"/>
        <v>17577</v>
      </c>
      <c r="Y71" s="1"/>
      <c r="Z71" s="5">
        <f t="shared" si="43"/>
        <v>0.77846671686079982</v>
      </c>
    </row>
    <row r="72" spans="1:26" s="24" customFormat="1" hidden="1" outlineLevel="2" x14ac:dyDescent="0.3">
      <c r="A72" s="27"/>
      <c r="B72" s="11" t="str">
        <f>CONCATENATE("          ", "6387", " - ", "COMMISSION DUE HOUSING")</f>
        <v xml:space="preserve">          6387 - COMMISSION DUE HOUSING</v>
      </c>
      <c r="C72" s="11"/>
      <c r="D72" s="6">
        <v>38588</v>
      </c>
      <c r="E72" s="2"/>
      <c r="F72" s="7">
        <f t="shared" si="36"/>
        <v>7.2059356233647856E-2</v>
      </c>
      <c r="G72" s="2"/>
      <c r="H72" s="6">
        <v>22579</v>
      </c>
      <c r="I72" s="2"/>
      <c r="J72" s="7">
        <f t="shared" si="37"/>
        <v>6.8991120590086594E-2</v>
      </c>
      <c r="K72" s="2"/>
      <c r="L72" s="6">
        <f t="shared" si="38"/>
        <v>16009</v>
      </c>
      <c r="M72" s="2"/>
      <c r="N72" s="7">
        <f t="shared" si="39"/>
        <v>0.70902165729217415</v>
      </c>
      <c r="O72" s="11"/>
      <c r="P72" s="6">
        <v>40156</v>
      </c>
      <c r="Q72" s="2"/>
      <c r="R72" s="7">
        <f t="shared" si="40"/>
        <v>6.9450901346651522E-2</v>
      </c>
      <c r="S72" s="2"/>
      <c r="T72" s="6">
        <v>22579</v>
      </c>
      <c r="U72" s="2"/>
      <c r="V72" s="7">
        <f t="shared" si="41"/>
        <v>6.724163090512196E-2</v>
      </c>
      <c r="W72" s="2"/>
      <c r="X72" s="6">
        <f t="shared" si="42"/>
        <v>17577</v>
      </c>
      <c r="Y72" s="2"/>
      <c r="Z72" s="7">
        <f t="shared" si="43"/>
        <v>0.77846671686079982</v>
      </c>
    </row>
    <row r="73" spans="1:26" s="28" customFormat="1" outlineLevel="1" collapsed="1" x14ac:dyDescent="0.3">
      <c r="A73" s="29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SUM(OSRRefD22_13x_0)</f>
        <v>1850</v>
      </c>
      <c r="E73" s="1"/>
      <c r="F73" s="5">
        <f t="shared" si="36"/>
        <v>3.4546959944088454E-3</v>
      </c>
      <c r="G73" s="1"/>
      <c r="H73" s="1">
        <f>SUM(OSRRefH22_13x_0)</f>
        <v>1850</v>
      </c>
      <c r="I73" s="1"/>
      <c r="J73" s="5">
        <f t="shared" si="37"/>
        <v>5.6527557948385758E-3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SUM(OSRRefP22_13x_0)</f>
        <v>3700</v>
      </c>
      <c r="Q73" s="1"/>
      <c r="R73" s="5">
        <f t="shared" si="40"/>
        <v>6.3992512945166505E-3</v>
      </c>
      <c r="S73" s="1"/>
      <c r="T73" s="1">
        <f>SUM(OSRRefT22_13x_0)</f>
        <v>3700</v>
      </c>
      <c r="U73" s="1"/>
      <c r="V73" s="5">
        <f t="shared" si="41"/>
        <v>1.1018824321225532E-2</v>
      </c>
      <c r="W73" s="1"/>
      <c r="X73" s="1">
        <f t="shared" si="42"/>
        <v>0</v>
      </c>
      <c r="Y73" s="1"/>
      <c r="Z73" s="5">
        <f t="shared" si="43"/>
        <v>0</v>
      </c>
    </row>
    <row r="74" spans="1:26" s="24" customFormat="1" hidden="1" outlineLevel="2" x14ac:dyDescent="0.3">
      <c r="A74" s="27"/>
      <c r="B74" s="11" t="str">
        <f>CONCATENATE("          ", "6273", " - ", "RENT")</f>
        <v xml:space="preserve">          6273 - RENT</v>
      </c>
      <c r="C74" s="11"/>
      <c r="D74" s="6">
        <v>1850</v>
      </c>
      <c r="E74" s="2"/>
      <c r="F74" s="7">
        <f t="shared" si="36"/>
        <v>3.4546959944088454E-3</v>
      </c>
      <c r="G74" s="2"/>
      <c r="H74" s="6">
        <v>1850</v>
      </c>
      <c r="I74" s="2"/>
      <c r="J74" s="7">
        <f t="shared" si="37"/>
        <v>5.6527557948385758E-3</v>
      </c>
      <c r="K74" s="2"/>
      <c r="L74" s="6">
        <f t="shared" si="38"/>
        <v>0</v>
      </c>
      <c r="M74" s="2"/>
      <c r="N74" s="7">
        <f t="shared" si="39"/>
        <v>0</v>
      </c>
      <c r="O74" s="11"/>
      <c r="P74" s="6">
        <v>3700</v>
      </c>
      <c r="Q74" s="2"/>
      <c r="R74" s="7">
        <f t="shared" si="40"/>
        <v>6.3992512945166505E-3</v>
      </c>
      <c r="S74" s="2"/>
      <c r="T74" s="6">
        <v>3700</v>
      </c>
      <c r="U74" s="2"/>
      <c r="V74" s="7">
        <f t="shared" si="41"/>
        <v>1.1018824321225532E-2</v>
      </c>
      <c r="W74" s="2"/>
      <c r="X74" s="6">
        <f t="shared" si="42"/>
        <v>0</v>
      </c>
      <c r="Y74" s="2"/>
      <c r="Z74" s="7">
        <f t="shared" si="43"/>
        <v>0</v>
      </c>
    </row>
    <row r="75" spans="1:26" s="28" customFormat="1" outlineLevel="1" collapsed="1" x14ac:dyDescent="0.3">
      <c r="A75" s="29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SUM(OSRRefD22_14x_0)</f>
        <v>26035.839999999997</v>
      </c>
      <c r="E75" s="1"/>
      <c r="F75" s="5">
        <f t="shared" si="36"/>
        <v>4.8619411977875449E-2</v>
      </c>
      <c r="G75" s="1"/>
      <c r="H75" s="1">
        <f>SUM(OSRRefH22_14x_0)</f>
        <v>7487</v>
      </c>
      <c r="I75" s="1"/>
      <c r="J75" s="5">
        <f t="shared" si="37"/>
        <v>2.2876855478895359E-2</v>
      </c>
      <c r="K75" s="1"/>
      <c r="L75" s="1">
        <f t="shared" si="38"/>
        <v>18548.839999999997</v>
      </c>
      <c r="M75" s="1"/>
      <c r="N75" s="5">
        <f t="shared" si="39"/>
        <v>2.4774729531187387</v>
      </c>
      <c r="O75" s="14"/>
      <c r="P75" s="1">
        <f>SUM(OSRRefP22_14x_0)</f>
        <v>33296.550000000003</v>
      </c>
      <c r="Q75" s="1"/>
      <c r="R75" s="5">
        <f t="shared" si="40"/>
        <v>5.7587294781199568E-2</v>
      </c>
      <c r="S75" s="1"/>
      <c r="T75" s="1">
        <f>SUM(OSRRefT22_14x_0)</f>
        <v>23904</v>
      </c>
      <c r="U75" s="1"/>
      <c r="V75" s="5">
        <f t="shared" si="41"/>
        <v>7.1187561236371655E-2</v>
      </c>
      <c r="W75" s="1"/>
      <c r="X75" s="1">
        <f t="shared" si="42"/>
        <v>9392.5500000000029</v>
      </c>
      <c r="Y75" s="1"/>
      <c r="Z75" s="5">
        <f t="shared" si="43"/>
        <v>0.39292796184738971</v>
      </c>
    </row>
    <row r="76" spans="1:26" s="24" customFormat="1" hidden="1" outlineLevel="2" x14ac:dyDescent="0.3">
      <c r="A76" s="27"/>
      <c r="B76" s="11" t="str">
        <f>CONCATENATE("          ", "6371", " - ", "COMPUTER SOFTWARE MAINTENANCE")</f>
        <v xml:space="preserve">          6371 - COMPUTER SOFTWARE MAINTENANCE</v>
      </c>
      <c r="C76" s="11"/>
      <c r="D76" s="6">
        <v>8677.7199999999993</v>
      </c>
      <c r="E76" s="2"/>
      <c r="F76" s="7">
        <f t="shared" si="36"/>
        <v>1.6204802445730554E-2</v>
      </c>
      <c r="G76" s="2"/>
      <c r="H76" s="6">
        <v>3500</v>
      </c>
      <c r="I76" s="2"/>
      <c r="J76" s="7">
        <f t="shared" si="37"/>
        <v>1.0694402855100009E-2</v>
      </c>
      <c r="K76" s="2"/>
      <c r="L76" s="6">
        <f t="shared" si="38"/>
        <v>5177.7199999999993</v>
      </c>
      <c r="M76" s="2"/>
      <c r="N76" s="7">
        <f t="shared" si="39"/>
        <v>1.4793485714285712</v>
      </c>
      <c r="O76" s="11"/>
      <c r="P76" s="6">
        <v>12177.72</v>
      </c>
      <c r="Q76" s="2"/>
      <c r="R76" s="7">
        <f t="shared" si="40"/>
        <v>2.1061700128178731E-2</v>
      </c>
      <c r="S76" s="2"/>
      <c r="T76" s="6">
        <v>7000</v>
      </c>
      <c r="U76" s="2"/>
      <c r="V76" s="7">
        <f t="shared" si="41"/>
        <v>2.0846424391507763E-2</v>
      </c>
      <c r="W76" s="2"/>
      <c r="X76" s="6">
        <f t="shared" si="42"/>
        <v>5177.7199999999993</v>
      </c>
      <c r="Y76" s="2"/>
      <c r="Z76" s="7">
        <f t="shared" si="43"/>
        <v>0.73967428571428562</v>
      </c>
    </row>
    <row r="77" spans="1:26" s="24" customFormat="1" hidden="1" outlineLevel="2" x14ac:dyDescent="0.3">
      <c r="A77" s="27"/>
      <c r="B77" s="11" t="str">
        <f>CONCATENATE("          ", "6373", " - ", "MAINTENANCE CONTRACTS")</f>
        <v xml:space="preserve">          6373 - MAINTENANCE CONTRACTS</v>
      </c>
      <c r="C77" s="11"/>
      <c r="D77" s="6"/>
      <c r="E77" s="2"/>
      <c r="F77" s="7">
        <f t="shared" si="36"/>
        <v>0</v>
      </c>
      <c r="G77" s="2"/>
      <c r="H77" s="6">
        <v>1800</v>
      </c>
      <c r="I77" s="2"/>
      <c r="J77" s="7">
        <f t="shared" si="37"/>
        <v>5.4999786111942896E-3</v>
      </c>
      <c r="K77" s="2"/>
      <c r="L77" s="6">
        <f t="shared" si="38"/>
        <v>-1800</v>
      </c>
      <c r="M77" s="2"/>
      <c r="N77" s="7">
        <f t="shared" si="39"/>
        <v>-1</v>
      </c>
      <c r="O77" s="11"/>
      <c r="P77" s="6">
        <v>14.87</v>
      </c>
      <c r="Q77" s="2"/>
      <c r="R77" s="7">
        <f t="shared" si="40"/>
        <v>2.5718072094449351E-5</v>
      </c>
      <c r="S77" s="2"/>
      <c r="T77" s="6">
        <v>2830</v>
      </c>
      <c r="U77" s="2"/>
      <c r="V77" s="7">
        <f t="shared" si="41"/>
        <v>8.4279115754238524E-3</v>
      </c>
      <c r="W77" s="2"/>
      <c r="X77" s="6">
        <f t="shared" si="42"/>
        <v>-2815.13</v>
      </c>
      <c r="Y77" s="2"/>
      <c r="Z77" s="7">
        <f t="shared" si="43"/>
        <v>-0.99474558303886929</v>
      </c>
    </row>
    <row r="78" spans="1:26" s="24" customFormat="1" hidden="1" outlineLevel="2" x14ac:dyDescent="0.3">
      <c r="A78" s="27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17358.12</v>
      </c>
      <c r="E78" s="2"/>
      <c r="F78" s="7">
        <f t="shared" si="36"/>
        <v>3.2414609532144902E-2</v>
      </c>
      <c r="G78" s="2"/>
      <c r="H78" s="6">
        <v>2187</v>
      </c>
      <c r="I78" s="2"/>
      <c r="J78" s="7">
        <f t="shared" si="37"/>
        <v>6.6824740126010624E-3</v>
      </c>
      <c r="K78" s="2"/>
      <c r="L78" s="6">
        <f t="shared" si="38"/>
        <v>15171.119999999999</v>
      </c>
      <c r="M78" s="2"/>
      <c r="N78" s="7">
        <f t="shared" si="39"/>
        <v>6.9369547325102872</v>
      </c>
      <c r="O78" s="11"/>
      <c r="P78" s="6">
        <v>21103.96</v>
      </c>
      <c r="Q78" s="2"/>
      <c r="R78" s="7">
        <f t="shared" si="40"/>
        <v>3.6499876580926384E-2</v>
      </c>
      <c r="S78" s="2"/>
      <c r="T78" s="6">
        <v>14074</v>
      </c>
      <c r="U78" s="2"/>
      <c r="V78" s="7">
        <f t="shared" si="41"/>
        <v>4.1913225269440038E-2</v>
      </c>
      <c r="W78" s="2"/>
      <c r="X78" s="6">
        <f t="shared" si="42"/>
        <v>7029.9599999999991</v>
      </c>
      <c r="Y78" s="2"/>
      <c r="Z78" s="7">
        <f t="shared" si="43"/>
        <v>0.49949978684098328</v>
      </c>
    </row>
    <row r="79" spans="1:26" s="28" customFormat="1" outlineLevel="1" collapsed="1" x14ac:dyDescent="0.3">
      <c r="A79" s="29"/>
      <c r="B79" s="14" t="str">
        <f>CONCATENATE("     ","Services                                          ")</f>
        <v xml:space="preserve">     Services                                          </v>
      </c>
      <c r="C79" s="14"/>
      <c r="D79" s="1">
        <f>SUM(OSRRefD22_15x_0)</f>
        <v>29818.090000000004</v>
      </c>
      <c r="E79" s="1"/>
      <c r="F79" s="5">
        <f t="shared" ref="F79:F84" si="44">IF(D$12=0,0,D79/D$12)</f>
        <v>5.5682397883201333E-2</v>
      </c>
      <c r="G79" s="1"/>
      <c r="H79" s="1">
        <f>SUM(OSRRefH22_15x_0)</f>
        <v>32337</v>
      </c>
      <c r="I79" s="1"/>
      <c r="J79" s="5">
        <f t="shared" ref="J79:J84" si="45">IF(H$12=0,0,H79/H$12)</f>
        <v>9.8807115750105423E-2</v>
      </c>
      <c r="K79" s="1"/>
      <c r="L79" s="1">
        <f t="shared" ref="L79:L84" si="46">+D79-H79</f>
        <v>-2518.9099999999962</v>
      </c>
      <c r="M79" s="1"/>
      <c r="N79" s="5">
        <f t="shared" ref="N79:N84" si="47">IF(H79=0,0,L79/H79)</f>
        <v>-7.7895599468101442E-2</v>
      </c>
      <c r="O79" s="14"/>
      <c r="P79" s="1">
        <f>SUM(OSRRefP22_15x_0)</f>
        <v>47486.239999999998</v>
      </c>
      <c r="Q79" s="1"/>
      <c r="R79" s="5">
        <f t="shared" ref="R79:R84" si="48">IF(P$12=0,0,P79/P$12)</f>
        <v>8.2128752105872532E-2</v>
      </c>
      <c r="S79" s="1"/>
      <c r="T79" s="1">
        <f>SUM(OSRRefT22_15x_0)</f>
        <v>57938</v>
      </c>
      <c r="U79" s="1"/>
      <c r="V79" s="5">
        <f t="shared" ref="V79:V84" si="49">IF(T$12=0,0,T79/T$12)</f>
        <v>0.1725428766278824</v>
      </c>
      <c r="W79" s="1"/>
      <c r="X79" s="1">
        <f t="shared" ref="X79:X84" si="50">+P79-T79</f>
        <v>-10451.760000000002</v>
      </c>
      <c r="Y79" s="1"/>
      <c r="Z79" s="5">
        <f t="shared" ref="Z79:Z84" si="51">IF(T79=0,0,X79/T79)</f>
        <v>-0.18039559529151855</v>
      </c>
    </row>
    <row r="80" spans="1:26" s="24" customFormat="1" hidden="1" outlineLevel="2" x14ac:dyDescent="0.3">
      <c r="A80" s="27"/>
      <c r="B80" s="11" t="str">
        <f>CONCATENATE("          ", "6282", " - ", "JANITORIAL/EXTERMINATOR EXPENS")</f>
        <v xml:space="preserve">          6282 - JANITORIAL/EXTERMINATOR EXPENS</v>
      </c>
      <c r="C80" s="11"/>
      <c r="D80" s="6">
        <v>1442.99</v>
      </c>
      <c r="E80" s="2"/>
      <c r="F80" s="7">
        <f t="shared" si="44"/>
        <v>2.6946442016064971E-3</v>
      </c>
      <c r="G80" s="2"/>
      <c r="H80" s="6">
        <v>2748</v>
      </c>
      <c r="I80" s="2"/>
      <c r="J80" s="7">
        <f t="shared" si="45"/>
        <v>8.3966340130899493E-3</v>
      </c>
      <c r="K80" s="2"/>
      <c r="L80" s="6">
        <f t="shared" si="46"/>
        <v>-1305.01</v>
      </c>
      <c r="M80" s="2"/>
      <c r="N80" s="7">
        <f t="shared" si="47"/>
        <v>-0.47489446870451235</v>
      </c>
      <c r="O80" s="11"/>
      <c r="P80" s="6">
        <v>3621.59</v>
      </c>
      <c r="Q80" s="2"/>
      <c r="R80" s="7">
        <f t="shared" si="48"/>
        <v>6.2636390528942052E-3</v>
      </c>
      <c r="S80" s="2"/>
      <c r="T80" s="6">
        <v>5296</v>
      </c>
      <c r="U80" s="2"/>
      <c r="V80" s="7">
        <f t="shared" si="49"/>
        <v>1.5771809082489301E-2</v>
      </c>
      <c r="W80" s="2"/>
      <c r="X80" s="6">
        <f t="shared" si="50"/>
        <v>-1674.4099999999999</v>
      </c>
      <c r="Y80" s="2"/>
      <c r="Z80" s="7">
        <f t="shared" si="51"/>
        <v>-0.31616503021148035</v>
      </c>
    </row>
    <row r="81" spans="1:26" s="24" customFormat="1" hidden="1" outlineLevel="2" x14ac:dyDescent="0.3">
      <c r="A81" s="27"/>
      <c r="B81" s="11" t="str">
        <f>CONCATENATE("          ", "6283", " - ", "PLANT SERVICE")</f>
        <v xml:space="preserve">          6283 - PLANT SERVICE</v>
      </c>
      <c r="C81" s="11"/>
      <c r="D81" s="6"/>
      <c r="E81" s="2"/>
      <c r="F81" s="7">
        <f t="shared" si="44"/>
        <v>0</v>
      </c>
      <c r="G81" s="2"/>
      <c r="H81" s="6">
        <v>100</v>
      </c>
      <c r="I81" s="2"/>
      <c r="J81" s="7">
        <f t="shared" si="45"/>
        <v>3.0555436728857166E-4</v>
      </c>
      <c r="K81" s="2"/>
      <c r="L81" s="6">
        <f t="shared" si="46"/>
        <v>-100</v>
      </c>
      <c r="M81" s="2"/>
      <c r="N81" s="7">
        <f t="shared" si="47"/>
        <v>-1</v>
      </c>
      <c r="O81" s="11"/>
      <c r="P81" s="6"/>
      <c r="Q81" s="2"/>
      <c r="R81" s="7">
        <f t="shared" si="48"/>
        <v>0</v>
      </c>
      <c r="S81" s="2"/>
      <c r="T81" s="6">
        <v>200</v>
      </c>
      <c r="U81" s="2"/>
      <c r="V81" s="7">
        <f t="shared" si="49"/>
        <v>5.9561212547165035E-4</v>
      </c>
      <c r="W81" s="2"/>
      <c r="X81" s="6">
        <f t="shared" si="50"/>
        <v>-200</v>
      </c>
      <c r="Y81" s="2"/>
      <c r="Z81" s="7">
        <f t="shared" si="51"/>
        <v>-1</v>
      </c>
    </row>
    <row r="82" spans="1:26" s="24" customFormat="1" hidden="1" outlineLevel="2" x14ac:dyDescent="0.3">
      <c r="A82" s="27"/>
      <c r="B82" s="11" t="str">
        <f>CONCATENATE("          ", "6284", " - ", "TRASH REMOVAL EXPENSE")</f>
        <v xml:space="preserve">          6284 - TRASH REMOVAL EXPENSE</v>
      </c>
      <c r="C82" s="11"/>
      <c r="D82" s="6"/>
      <c r="E82" s="2"/>
      <c r="F82" s="7">
        <f t="shared" si="44"/>
        <v>0</v>
      </c>
      <c r="G82" s="2"/>
      <c r="H82" s="6">
        <v>1600</v>
      </c>
      <c r="I82" s="2"/>
      <c r="J82" s="7">
        <f t="shared" si="45"/>
        <v>4.8888698766171466E-3</v>
      </c>
      <c r="K82" s="2"/>
      <c r="L82" s="6">
        <f t="shared" si="46"/>
        <v>-1600</v>
      </c>
      <c r="M82" s="2"/>
      <c r="N82" s="7">
        <f t="shared" si="47"/>
        <v>-1</v>
      </c>
      <c r="O82" s="11"/>
      <c r="P82" s="6"/>
      <c r="Q82" s="2"/>
      <c r="R82" s="7">
        <f t="shared" si="48"/>
        <v>0</v>
      </c>
      <c r="S82" s="2"/>
      <c r="T82" s="6">
        <v>3200</v>
      </c>
      <c r="U82" s="2"/>
      <c r="V82" s="7">
        <f t="shared" si="49"/>
        <v>9.5297940075464056E-3</v>
      </c>
      <c r="W82" s="2"/>
      <c r="X82" s="6">
        <f t="shared" si="50"/>
        <v>-3200</v>
      </c>
      <c r="Y82" s="2"/>
      <c r="Z82" s="7">
        <f t="shared" si="51"/>
        <v>-1</v>
      </c>
    </row>
    <row r="83" spans="1:26" s="24" customFormat="1" hidden="1" outlineLevel="2" x14ac:dyDescent="0.3">
      <c r="A83" s="27"/>
      <c r="B83" s="11" t="str">
        <f>CONCATENATE("          ", "6285", " - ", "JANITORIAL SERVICES")</f>
        <v xml:space="preserve">          6285 - JANITORIAL SERVICES</v>
      </c>
      <c r="C83" s="11"/>
      <c r="D83" s="6">
        <v>25872.47</v>
      </c>
      <c r="E83" s="2"/>
      <c r="F83" s="7">
        <f t="shared" si="44"/>
        <v>4.8314334310520554E-2</v>
      </c>
      <c r="G83" s="2"/>
      <c r="H83" s="6">
        <v>22559</v>
      </c>
      <c r="I83" s="2"/>
      <c r="J83" s="7">
        <f t="shared" si="45"/>
        <v>6.8930009716628882E-2</v>
      </c>
      <c r="K83" s="2"/>
      <c r="L83" s="6">
        <f t="shared" si="46"/>
        <v>3313.4700000000012</v>
      </c>
      <c r="M83" s="2"/>
      <c r="N83" s="7">
        <f t="shared" si="47"/>
        <v>0.14688018085908069</v>
      </c>
      <c r="O83" s="11"/>
      <c r="P83" s="6">
        <v>40279.050000000003</v>
      </c>
      <c r="Q83" s="2"/>
      <c r="R83" s="7">
        <f t="shared" si="48"/>
        <v>6.9663719690378628E-2</v>
      </c>
      <c r="S83" s="2"/>
      <c r="T83" s="6">
        <v>39935</v>
      </c>
      <c r="U83" s="2"/>
      <c r="V83" s="7">
        <f t="shared" si="49"/>
        <v>0.11892885115355178</v>
      </c>
      <c r="W83" s="2"/>
      <c r="X83" s="6">
        <f t="shared" si="50"/>
        <v>344.05000000000291</v>
      </c>
      <c r="Y83" s="2"/>
      <c r="Z83" s="7">
        <f t="shared" si="51"/>
        <v>8.615249780894025E-3</v>
      </c>
    </row>
    <row r="84" spans="1:26" s="24" customFormat="1" hidden="1" outlineLevel="2" x14ac:dyDescent="0.3">
      <c r="A84" s="27"/>
      <c r="B84" s="11" t="str">
        <f>CONCATENATE("          ", "6286", " - ", "LAUNDRY EXPENSE")</f>
        <v xml:space="preserve">          6286 - LAUNDRY EXPENSE</v>
      </c>
      <c r="C84" s="11"/>
      <c r="D84" s="6">
        <v>2502.63</v>
      </c>
      <c r="E84" s="2"/>
      <c r="F84" s="7">
        <f t="shared" si="44"/>
        <v>4.6734193710742753E-3</v>
      </c>
      <c r="G84" s="2"/>
      <c r="H84" s="6">
        <v>5330</v>
      </c>
      <c r="I84" s="2"/>
      <c r="J84" s="7">
        <f t="shared" si="45"/>
        <v>1.6286047776480871E-2</v>
      </c>
      <c r="K84" s="2"/>
      <c r="L84" s="6">
        <f t="shared" si="46"/>
        <v>-2827.37</v>
      </c>
      <c r="M84" s="2"/>
      <c r="N84" s="7">
        <f t="shared" si="47"/>
        <v>-0.53046341463414637</v>
      </c>
      <c r="O84" s="11"/>
      <c r="P84" s="6">
        <v>3585.6</v>
      </c>
      <c r="Q84" s="2"/>
      <c r="R84" s="7">
        <f t="shared" si="48"/>
        <v>6.2013933625997032E-3</v>
      </c>
      <c r="S84" s="2"/>
      <c r="T84" s="6">
        <v>9307</v>
      </c>
      <c r="U84" s="2"/>
      <c r="V84" s="7">
        <f t="shared" si="49"/>
        <v>2.7716810258823249E-2</v>
      </c>
      <c r="W84" s="2"/>
      <c r="X84" s="6">
        <f t="shared" si="50"/>
        <v>-5721.4</v>
      </c>
      <c r="Y84" s="2"/>
      <c r="Z84" s="7">
        <f t="shared" si="51"/>
        <v>-0.61474159234984416</v>
      </c>
    </row>
    <row r="85" spans="1:26" s="28" customFormat="1" outlineLevel="1" collapsed="1" x14ac:dyDescent="0.3">
      <c r="A85" s="29"/>
      <c r="B85" s="14" t="str">
        <f>CONCATENATE("     ","Subscriptions &amp; Dues                              ")</f>
        <v xml:space="preserve">     Subscriptions &amp; Dues                              </v>
      </c>
      <c r="C85" s="14"/>
      <c r="D85" s="1">
        <f>SUM(OSRRefD22_16x_0)</f>
        <v>593.59</v>
      </c>
      <c r="E85" s="1"/>
      <c r="F85" s="5">
        <f t="shared" ref="F85:F97" si="52">IF(D$12=0,0,D85/D$12)</f>
        <v>1.108471889362782E-3</v>
      </c>
      <c r="G85" s="1"/>
      <c r="H85" s="1">
        <f>SUM(OSRRefH22_16x_0)</f>
        <v>610</v>
      </c>
      <c r="I85" s="1"/>
      <c r="J85" s="5">
        <f t="shared" ref="J85:J97" si="53">IF(H$12=0,0,H85/H$12)</f>
        <v>1.8638816404602872E-3</v>
      </c>
      <c r="K85" s="1"/>
      <c r="L85" s="1">
        <f t="shared" ref="L85:L97" si="54">+D85-H85</f>
        <v>-16.409999999999968</v>
      </c>
      <c r="M85" s="1"/>
      <c r="N85" s="5">
        <f t="shared" ref="N85:N97" si="55">IF(H85=0,0,L85/H85)</f>
        <v>-2.6901639344262242E-2</v>
      </c>
      <c r="O85" s="14"/>
      <c r="P85" s="1">
        <f>SUM(OSRRefP22_16x_0)</f>
        <v>724.26</v>
      </c>
      <c r="Q85" s="1"/>
      <c r="R85" s="5">
        <f t="shared" ref="R85:R97" si="56">IF(P$12=0,0,P85/P$12)</f>
        <v>1.252627497990981E-3</v>
      </c>
      <c r="S85" s="1"/>
      <c r="T85" s="1">
        <f>SUM(OSRRefT22_16x_0)</f>
        <v>990</v>
      </c>
      <c r="U85" s="1"/>
      <c r="V85" s="5">
        <f t="shared" ref="V85:V97" si="57">IF(T$12=0,0,T85/T$12)</f>
        <v>2.9482800210846693E-3</v>
      </c>
      <c r="W85" s="1"/>
      <c r="X85" s="1">
        <f t="shared" ref="X85:X97" si="58">+P85-T85</f>
        <v>-265.74</v>
      </c>
      <c r="Y85" s="1"/>
      <c r="Z85" s="5">
        <f t="shared" ref="Z85:Z97" si="59">IF(T85=0,0,X85/T85)</f>
        <v>-0.26842424242424245</v>
      </c>
    </row>
    <row r="86" spans="1:26" s="24" customFormat="1" hidden="1" outlineLevel="2" x14ac:dyDescent="0.3">
      <c r="A86" s="27"/>
      <c r="B86" s="11" t="str">
        <f>CONCATENATE("          ", "6275", " - ", "SUBSCRIPTIONS")</f>
        <v xml:space="preserve">          6275 - SUBSCRIPTIONS</v>
      </c>
      <c r="C86" s="11"/>
      <c r="D86" s="6">
        <v>593.59</v>
      </c>
      <c r="E86" s="2"/>
      <c r="F86" s="7">
        <f t="shared" si="52"/>
        <v>1.108471889362782E-3</v>
      </c>
      <c r="G86" s="2"/>
      <c r="H86" s="6">
        <v>610</v>
      </c>
      <c r="I86" s="2"/>
      <c r="J86" s="7">
        <f t="shared" si="53"/>
        <v>1.8638816404602872E-3</v>
      </c>
      <c r="K86" s="2"/>
      <c r="L86" s="6">
        <f t="shared" si="54"/>
        <v>-16.409999999999968</v>
      </c>
      <c r="M86" s="2"/>
      <c r="N86" s="7">
        <f t="shared" si="55"/>
        <v>-2.6901639344262242E-2</v>
      </c>
      <c r="O86" s="11"/>
      <c r="P86" s="6">
        <v>724.26</v>
      </c>
      <c r="Q86" s="2"/>
      <c r="R86" s="7">
        <f t="shared" si="56"/>
        <v>1.252627497990981E-3</v>
      </c>
      <c r="S86" s="2"/>
      <c r="T86" s="6">
        <v>990</v>
      </c>
      <c r="U86" s="2"/>
      <c r="V86" s="7">
        <f t="shared" si="57"/>
        <v>2.9482800210846693E-3</v>
      </c>
      <c r="W86" s="2"/>
      <c r="X86" s="6">
        <f t="shared" si="58"/>
        <v>-265.74</v>
      </c>
      <c r="Y86" s="2"/>
      <c r="Z86" s="7">
        <f t="shared" si="59"/>
        <v>-0.26842424242424245</v>
      </c>
    </row>
    <row r="87" spans="1:26" s="28" customFormat="1" outlineLevel="1" collapsed="1" x14ac:dyDescent="0.3">
      <c r="A87" s="29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SUM(OSRRefD22_17x_0)</f>
        <v>26030.74</v>
      </c>
      <c r="E87" s="1"/>
      <c r="F87" s="5">
        <f t="shared" si="52"/>
        <v>4.8609888221350331E-2</v>
      </c>
      <c r="G87" s="1"/>
      <c r="H87" s="1">
        <f>SUM(OSRRefH22_17x_0)</f>
        <v>40929</v>
      </c>
      <c r="I87" s="1"/>
      <c r="J87" s="5">
        <f t="shared" si="53"/>
        <v>0.12506034698753948</v>
      </c>
      <c r="K87" s="1"/>
      <c r="L87" s="1">
        <f t="shared" si="54"/>
        <v>-14898.259999999998</v>
      </c>
      <c r="M87" s="1"/>
      <c r="N87" s="5">
        <f t="shared" si="55"/>
        <v>-0.36400254098560919</v>
      </c>
      <c r="O87" s="14"/>
      <c r="P87" s="1">
        <f>SUM(OSRRefP22_17x_0)</f>
        <v>32971.83</v>
      </c>
      <c r="Q87" s="1"/>
      <c r="R87" s="5">
        <f t="shared" si="56"/>
        <v>5.7025682651373776E-2</v>
      </c>
      <c r="S87" s="1"/>
      <c r="T87" s="1">
        <f>SUM(OSRRefT22_17x_0)</f>
        <v>81218</v>
      </c>
      <c r="U87" s="1"/>
      <c r="V87" s="5">
        <f t="shared" si="57"/>
        <v>0.24187212803278249</v>
      </c>
      <c r="W87" s="1"/>
      <c r="X87" s="1">
        <f t="shared" si="58"/>
        <v>-48246.17</v>
      </c>
      <c r="Y87" s="1"/>
      <c r="Z87" s="5">
        <f t="shared" si="59"/>
        <v>-0.59403297298628377</v>
      </c>
    </row>
    <row r="88" spans="1:26" s="24" customFormat="1" hidden="1" outlineLevel="2" x14ac:dyDescent="0.3">
      <c r="A88" s="27"/>
      <c r="B88" s="11" t="str">
        <f>CONCATENATE("          ", "6234", " - ", "EXPENDABLE SUPPLIES &amp; EQUIPMEN")</f>
        <v xml:space="preserve">          6234 - EXPENDABLE SUPPLIES &amp; EQUIPMEN</v>
      </c>
      <c r="C88" s="11"/>
      <c r="D88" s="6"/>
      <c r="E88" s="2"/>
      <c r="F88" s="7">
        <f t="shared" si="52"/>
        <v>0</v>
      </c>
      <c r="G88" s="2"/>
      <c r="H88" s="6">
        <v>342</v>
      </c>
      <c r="I88" s="2"/>
      <c r="J88" s="7">
        <f t="shared" si="53"/>
        <v>1.0449959361269151E-3</v>
      </c>
      <c r="K88" s="2"/>
      <c r="L88" s="6">
        <f t="shared" si="54"/>
        <v>-342</v>
      </c>
      <c r="M88" s="2"/>
      <c r="N88" s="7">
        <f t="shared" si="55"/>
        <v>-1</v>
      </c>
      <c r="O88" s="11"/>
      <c r="P88" s="6"/>
      <c r="Q88" s="2"/>
      <c r="R88" s="7">
        <f t="shared" si="56"/>
        <v>0</v>
      </c>
      <c r="S88" s="2"/>
      <c r="T88" s="6">
        <v>684</v>
      </c>
      <c r="U88" s="2"/>
      <c r="V88" s="7">
        <f t="shared" si="57"/>
        <v>2.0369934691130444E-3</v>
      </c>
      <c r="W88" s="2"/>
      <c r="X88" s="6">
        <f t="shared" si="58"/>
        <v>-684</v>
      </c>
      <c r="Y88" s="2"/>
      <c r="Z88" s="7">
        <f t="shared" si="59"/>
        <v>-1</v>
      </c>
    </row>
    <row r="89" spans="1:26" s="24" customFormat="1" hidden="1" outlineLevel="2" x14ac:dyDescent="0.3">
      <c r="A89" s="27"/>
      <c r="B89" s="11" t="str">
        <f>CONCATENATE("          ", "6235", " - ", "COVID-19 EXPENSES")</f>
        <v xml:space="preserve">          6235 - COVID-19 EXPENSES</v>
      </c>
      <c r="C89" s="11"/>
      <c r="D89" s="6"/>
      <c r="E89" s="2"/>
      <c r="F89" s="7">
        <f t="shared" si="52"/>
        <v>0</v>
      </c>
      <c r="G89" s="2"/>
      <c r="H89" s="6">
        <v>250</v>
      </c>
      <c r="I89" s="2"/>
      <c r="J89" s="7">
        <f t="shared" si="53"/>
        <v>7.6388591822142918E-4</v>
      </c>
      <c r="K89" s="2"/>
      <c r="L89" s="6">
        <f t="shared" si="54"/>
        <v>-250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750</v>
      </c>
      <c r="U89" s="2"/>
      <c r="V89" s="7">
        <f t="shared" si="57"/>
        <v>2.2335454705186887E-3</v>
      </c>
      <c r="W89" s="2"/>
      <c r="X89" s="6">
        <f t="shared" si="58"/>
        <v>-750</v>
      </c>
      <c r="Y89" s="2"/>
      <c r="Z89" s="7">
        <f t="shared" si="59"/>
        <v>-1</v>
      </c>
    </row>
    <row r="90" spans="1:26" s="24" customFormat="1" hidden="1" outlineLevel="2" x14ac:dyDescent="0.3">
      <c r="A90" s="27"/>
      <c r="B90" s="11" t="str">
        <f>CONCATENATE("          ", "6237", " - ", "JANITORIAL SUPPLIES")</f>
        <v xml:space="preserve">          6237 - JANITORIAL SUPPLIES</v>
      </c>
      <c r="C90" s="11"/>
      <c r="D90" s="6">
        <v>3475.37</v>
      </c>
      <c r="E90" s="2"/>
      <c r="F90" s="7">
        <f t="shared" si="52"/>
        <v>6.4899171989668478E-3</v>
      </c>
      <c r="G90" s="2"/>
      <c r="H90" s="6">
        <v>12544</v>
      </c>
      <c r="I90" s="2"/>
      <c r="J90" s="7">
        <f t="shared" si="53"/>
        <v>3.8328739832678427E-2</v>
      </c>
      <c r="K90" s="2"/>
      <c r="L90" s="6">
        <f t="shared" si="54"/>
        <v>-9068.630000000001</v>
      </c>
      <c r="M90" s="2"/>
      <c r="N90" s="7">
        <f t="shared" si="55"/>
        <v>-0.72294563137755108</v>
      </c>
      <c r="O90" s="11"/>
      <c r="P90" s="6">
        <v>8179.49</v>
      </c>
      <c r="Q90" s="2"/>
      <c r="R90" s="7">
        <f t="shared" si="56"/>
        <v>1.414665188405027E-2</v>
      </c>
      <c r="S90" s="2"/>
      <c r="T90" s="6">
        <v>24067</v>
      </c>
      <c r="U90" s="2"/>
      <c r="V90" s="7">
        <f t="shared" si="57"/>
        <v>7.1672985118631044E-2</v>
      </c>
      <c r="W90" s="2"/>
      <c r="X90" s="6">
        <f t="shared" si="58"/>
        <v>-15887.51</v>
      </c>
      <c r="Y90" s="2"/>
      <c r="Z90" s="7">
        <f t="shared" si="59"/>
        <v>-0.66013670170773264</v>
      </c>
    </row>
    <row r="91" spans="1:26" s="24" customFormat="1" hidden="1" outlineLevel="2" x14ac:dyDescent="0.3">
      <c r="A91" s="27"/>
      <c r="B91" s="11" t="str">
        <f>CONCATENATE("          ", "6239", " - ", "KITCHEN SUPPLIES")</f>
        <v xml:space="preserve">          6239 - KITCHEN SUPPLIES</v>
      </c>
      <c r="C91" s="11"/>
      <c r="D91" s="6">
        <v>3069.8</v>
      </c>
      <c r="E91" s="2"/>
      <c r="F91" s="7">
        <f t="shared" si="52"/>
        <v>5.7325544668304189E-3</v>
      </c>
      <c r="G91" s="2"/>
      <c r="H91" s="6">
        <v>6373</v>
      </c>
      <c r="I91" s="2"/>
      <c r="J91" s="7">
        <f t="shared" si="53"/>
        <v>1.947297982730067E-2</v>
      </c>
      <c r="K91" s="2"/>
      <c r="L91" s="6">
        <f t="shared" si="54"/>
        <v>-3303.2</v>
      </c>
      <c r="M91" s="2"/>
      <c r="N91" s="7">
        <f t="shared" si="55"/>
        <v>-0.51831162717715362</v>
      </c>
      <c r="O91" s="11"/>
      <c r="P91" s="6">
        <v>3101.83</v>
      </c>
      <c r="Q91" s="2"/>
      <c r="R91" s="7">
        <f t="shared" si="56"/>
        <v>5.3646999034785356E-3</v>
      </c>
      <c r="S91" s="2"/>
      <c r="T91" s="6">
        <v>17836</v>
      </c>
      <c r="U91" s="2"/>
      <c r="V91" s="7">
        <f t="shared" si="57"/>
        <v>5.3116689349561777E-2</v>
      </c>
      <c r="W91" s="2"/>
      <c r="X91" s="6">
        <f t="shared" si="58"/>
        <v>-14734.17</v>
      </c>
      <c r="Y91" s="2"/>
      <c r="Z91" s="7">
        <f t="shared" si="59"/>
        <v>-0.82609161246916352</v>
      </c>
    </row>
    <row r="92" spans="1:26" s="24" customFormat="1" hidden="1" outlineLevel="2" x14ac:dyDescent="0.3">
      <c r="A92" s="27"/>
      <c r="B92" s="11" t="str">
        <f>CONCATENATE("          ", "6241", " - ", "OFFICE EXPENSE")</f>
        <v xml:space="preserve">          6241 - OFFICE EXPENSE</v>
      </c>
      <c r="C92" s="11"/>
      <c r="D92" s="6">
        <v>4615.03</v>
      </c>
      <c r="E92" s="2"/>
      <c r="F92" s="7">
        <f t="shared" si="52"/>
        <v>8.618121975717109E-3</v>
      </c>
      <c r="G92" s="2"/>
      <c r="H92" s="6">
        <v>3995</v>
      </c>
      <c r="I92" s="2"/>
      <c r="J92" s="7">
        <f t="shared" si="53"/>
        <v>1.2206896973178437E-2</v>
      </c>
      <c r="K92" s="2"/>
      <c r="L92" s="6">
        <f t="shared" si="54"/>
        <v>620.02999999999975</v>
      </c>
      <c r="M92" s="2"/>
      <c r="N92" s="7">
        <f t="shared" si="55"/>
        <v>0.15520150187734663</v>
      </c>
      <c r="O92" s="11"/>
      <c r="P92" s="6">
        <v>5591.52</v>
      </c>
      <c r="Q92" s="2"/>
      <c r="R92" s="7">
        <f t="shared" si="56"/>
        <v>9.6706869184637161E-3</v>
      </c>
      <c r="S92" s="2"/>
      <c r="T92" s="6">
        <v>5484</v>
      </c>
      <c r="U92" s="2"/>
      <c r="V92" s="7">
        <f t="shared" si="57"/>
        <v>1.6331684480432651E-2</v>
      </c>
      <c r="W92" s="2"/>
      <c r="X92" s="6">
        <f t="shared" si="58"/>
        <v>107.52000000000044</v>
      </c>
      <c r="Y92" s="2"/>
      <c r="Z92" s="7">
        <f t="shared" si="59"/>
        <v>1.9606126914660911E-2</v>
      </c>
    </row>
    <row r="93" spans="1:26" s="24" customFormat="1" hidden="1" outlineLevel="2" x14ac:dyDescent="0.3">
      <c r="A93" s="27"/>
      <c r="B93" s="11" t="str">
        <f>CONCATENATE("          ", "6243", " - ", "PAPER SUPPLIES")</f>
        <v xml:space="preserve">          6243 - PAPER SUPPLIES</v>
      </c>
      <c r="C93" s="11"/>
      <c r="D93" s="6">
        <v>14670.54</v>
      </c>
      <c r="E93" s="2"/>
      <c r="F93" s="7">
        <f t="shared" si="52"/>
        <v>2.7395813931791756E-2</v>
      </c>
      <c r="G93" s="2"/>
      <c r="H93" s="6">
        <v>14601</v>
      </c>
      <c r="I93" s="2"/>
      <c r="J93" s="7">
        <f t="shared" si="53"/>
        <v>4.4613993167804344E-2</v>
      </c>
      <c r="K93" s="2"/>
      <c r="L93" s="6">
        <f t="shared" si="54"/>
        <v>69.540000000000873</v>
      </c>
      <c r="M93" s="2"/>
      <c r="N93" s="7">
        <f t="shared" si="55"/>
        <v>4.762687487158474E-3</v>
      </c>
      <c r="O93" s="11"/>
      <c r="P93" s="6">
        <v>15898.99</v>
      </c>
      <c r="Q93" s="2"/>
      <c r="R93" s="7">
        <f t="shared" si="56"/>
        <v>2.7497738470001969E-2</v>
      </c>
      <c r="S93" s="2"/>
      <c r="T93" s="6">
        <v>26410</v>
      </c>
      <c r="U93" s="2"/>
      <c r="V93" s="7">
        <f t="shared" si="57"/>
        <v>7.8650581168531422E-2</v>
      </c>
      <c r="W93" s="2"/>
      <c r="X93" s="6">
        <f t="shared" si="58"/>
        <v>-10511.01</v>
      </c>
      <c r="Y93" s="2"/>
      <c r="Z93" s="7">
        <f t="shared" si="59"/>
        <v>-0.39799356304430139</v>
      </c>
    </row>
    <row r="94" spans="1:26" s="24" customFormat="1" hidden="1" outlineLevel="2" x14ac:dyDescent="0.3">
      <c r="A94" s="27"/>
      <c r="B94" s="11" t="str">
        <f>CONCATENATE("          ", "6244", " - ", "SAFETY SUPPLY EXPENSE")</f>
        <v xml:space="preserve">          6244 - SAFETY SUPPLY EXPENSE</v>
      </c>
      <c r="C94" s="11"/>
      <c r="D94" s="6"/>
      <c r="E94" s="2"/>
      <c r="F94" s="7">
        <f t="shared" si="52"/>
        <v>0</v>
      </c>
      <c r="G94" s="2"/>
      <c r="H94" s="6">
        <v>525</v>
      </c>
      <c r="I94" s="2"/>
      <c r="J94" s="7">
        <f t="shared" si="53"/>
        <v>1.6041604282650012E-3</v>
      </c>
      <c r="K94" s="2"/>
      <c r="L94" s="6">
        <f t="shared" si="54"/>
        <v>-525</v>
      </c>
      <c r="M94" s="2"/>
      <c r="N94" s="7">
        <f t="shared" si="55"/>
        <v>-1</v>
      </c>
      <c r="O94" s="11"/>
      <c r="P94" s="6"/>
      <c r="Q94" s="2"/>
      <c r="R94" s="7">
        <f t="shared" si="56"/>
        <v>0</v>
      </c>
      <c r="S94" s="2"/>
      <c r="T94" s="6">
        <v>1100</v>
      </c>
      <c r="U94" s="2"/>
      <c r="V94" s="7">
        <f t="shared" si="57"/>
        <v>3.275866690094077E-3</v>
      </c>
      <c r="W94" s="2"/>
      <c r="X94" s="6">
        <f t="shared" si="58"/>
        <v>-1100</v>
      </c>
      <c r="Y94" s="2"/>
      <c r="Z94" s="7">
        <f t="shared" si="59"/>
        <v>-1</v>
      </c>
    </row>
    <row r="95" spans="1:26" s="24" customFormat="1" hidden="1" outlineLevel="2" x14ac:dyDescent="0.3">
      <c r="A95" s="27"/>
      <c r="B95" s="11" t="str">
        <f>CONCATENATE("          ", "6245", " - ", "PRINTING")</f>
        <v xml:space="preserve">          6245 - PRINTING</v>
      </c>
      <c r="C95" s="11"/>
      <c r="D95" s="6"/>
      <c r="E95" s="2"/>
      <c r="F95" s="7">
        <f t="shared" si="52"/>
        <v>0</v>
      </c>
      <c r="G95" s="2"/>
      <c r="H95" s="6">
        <v>300</v>
      </c>
      <c r="I95" s="2"/>
      <c r="J95" s="7">
        <f t="shared" si="53"/>
        <v>9.1666310186571493E-4</v>
      </c>
      <c r="K95" s="2"/>
      <c r="L95" s="6">
        <f t="shared" si="54"/>
        <v>-300</v>
      </c>
      <c r="M95" s="2"/>
      <c r="N95" s="7">
        <f t="shared" si="55"/>
        <v>-1</v>
      </c>
      <c r="O95" s="11"/>
      <c r="P95" s="6"/>
      <c r="Q95" s="2"/>
      <c r="R95" s="7">
        <f t="shared" si="56"/>
        <v>0</v>
      </c>
      <c r="S95" s="2"/>
      <c r="T95" s="6">
        <v>700</v>
      </c>
      <c r="U95" s="2"/>
      <c r="V95" s="7">
        <f t="shared" si="57"/>
        <v>2.0846424391507763E-3</v>
      </c>
      <c r="W95" s="2"/>
      <c r="X95" s="6">
        <f t="shared" si="58"/>
        <v>-700</v>
      </c>
      <c r="Y95" s="2"/>
      <c r="Z95" s="7">
        <f t="shared" si="59"/>
        <v>-1</v>
      </c>
    </row>
    <row r="96" spans="1:26" s="24" customFormat="1" hidden="1" outlineLevel="2" x14ac:dyDescent="0.3">
      <c r="A96" s="27"/>
      <c r="B96" s="11" t="str">
        <f>CONCATENATE("          ", "6247", " - ", "STORE SUPPLIES")</f>
        <v xml:space="preserve">          6247 - STORE SUPPLIES</v>
      </c>
      <c r="C96" s="11"/>
      <c r="D96" s="6">
        <v>200</v>
      </c>
      <c r="E96" s="2"/>
      <c r="F96" s="7">
        <f t="shared" si="52"/>
        <v>3.734806480441995E-4</v>
      </c>
      <c r="G96" s="2"/>
      <c r="H96" s="6">
        <v>411</v>
      </c>
      <c r="I96" s="2"/>
      <c r="J96" s="7">
        <f t="shared" si="53"/>
        <v>1.2558284495560294E-3</v>
      </c>
      <c r="K96" s="2"/>
      <c r="L96" s="6">
        <f t="shared" si="54"/>
        <v>-211</v>
      </c>
      <c r="M96" s="2"/>
      <c r="N96" s="7">
        <f t="shared" si="55"/>
        <v>-0.51338199513381999</v>
      </c>
      <c r="O96" s="11"/>
      <c r="P96" s="6">
        <v>200</v>
      </c>
      <c r="Q96" s="2"/>
      <c r="R96" s="7">
        <f t="shared" si="56"/>
        <v>3.4590547537927845E-4</v>
      </c>
      <c r="S96" s="2"/>
      <c r="T96" s="6">
        <v>411</v>
      </c>
      <c r="U96" s="2"/>
      <c r="V96" s="7">
        <f t="shared" si="57"/>
        <v>1.2239829178442416E-3</v>
      </c>
      <c r="W96" s="2"/>
      <c r="X96" s="6">
        <f t="shared" si="58"/>
        <v>-211</v>
      </c>
      <c r="Y96" s="2"/>
      <c r="Z96" s="7">
        <f t="shared" si="59"/>
        <v>-0.51338199513381999</v>
      </c>
    </row>
    <row r="97" spans="1:26" s="24" customFormat="1" hidden="1" outlineLevel="2" x14ac:dyDescent="0.3">
      <c r="A97" s="27"/>
      <c r="B97" s="11" t="str">
        <f>CONCATENATE("          ", "6248", " - ", "UNIFORMS")</f>
        <v xml:space="preserve">          6248 - UNIFORMS</v>
      </c>
      <c r="C97" s="11"/>
      <c r="D97" s="6"/>
      <c r="E97" s="2"/>
      <c r="F97" s="7">
        <f t="shared" si="52"/>
        <v>0</v>
      </c>
      <c r="G97" s="2"/>
      <c r="H97" s="6">
        <v>1588</v>
      </c>
      <c r="I97" s="2"/>
      <c r="J97" s="7">
        <f t="shared" si="53"/>
        <v>4.852203352542518E-3</v>
      </c>
      <c r="K97" s="2"/>
      <c r="L97" s="6">
        <f t="shared" si="54"/>
        <v>-1588</v>
      </c>
      <c r="M97" s="2"/>
      <c r="N97" s="7">
        <f t="shared" si="55"/>
        <v>-1</v>
      </c>
      <c r="O97" s="11"/>
      <c r="P97" s="6"/>
      <c r="Q97" s="2"/>
      <c r="R97" s="7">
        <f t="shared" si="56"/>
        <v>0</v>
      </c>
      <c r="S97" s="2"/>
      <c r="T97" s="6">
        <v>3776</v>
      </c>
      <c r="U97" s="2"/>
      <c r="V97" s="7">
        <f t="shared" si="57"/>
        <v>1.1245156928904758E-2</v>
      </c>
      <c r="W97" s="2"/>
      <c r="X97" s="6">
        <f t="shared" si="58"/>
        <v>-3776</v>
      </c>
      <c r="Y97" s="2"/>
      <c r="Z97" s="7">
        <f t="shared" si="59"/>
        <v>-1</v>
      </c>
    </row>
    <row r="98" spans="1:26" s="28" customFormat="1" outlineLevel="1" collapsed="1" x14ac:dyDescent="0.3">
      <c r="A98" s="29"/>
      <c r="B98" s="14" t="str">
        <f>CONCATENATE("     ","Telephone/Data Lines                              ")</f>
        <v xml:space="preserve">     Telephone/Data Lines                              </v>
      </c>
      <c r="C98" s="14"/>
      <c r="D98" s="1">
        <f>SUM(OSRRefD22_18x_0)</f>
        <v>1344.95</v>
      </c>
      <c r="E98" s="1"/>
      <c r="F98" s="5">
        <f t="shared" ref="F98:F100" si="60">IF(D$12=0,0,D98/D$12)</f>
        <v>2.5115639879352307E-3</v>
      </c>
      <c r="G98" s="1"/>
      <c r="H98" s="1">
        <f>SUM(OSRRefH22_18x_0)</f>
        <v>961</v>
      </c>
      <c r="I98" s="1"/>
      <c r="J98" s="5">
        <f t="shared" ref="J98:J100" si="61">IF(H$12=0,0,H98/H$12)</f>
        <v>2.9363774696431737E-3</v>
      </c>
      <c r="K98" s="1"/>
      <c r="L98" s="1">
        <f t="shared" ref="L98:L100" si="62">+D98-H98</f>
        <v>383.95000000000005</v>
      </c>
      <c r="M98" s="1"/>
      <c r="N98" s="5">
        <f t="shared" ref="N98:N100" si="63">IF(H98=0,0,L98/H98)</f>
        <v>0.39953173777315304</v>
      </c>
      <c r="O98" s="14"/>
      <c r="P98" s="1">
        <f>SUM(OSRRefP22_18x_0)</f>
        <v>2367.5</v>
      </c>
      <c r="Q98" s="1"/>
      <c r="R98" s="5">
        <f t="shared" ref="R98:R100" si="64">IF(P$12=0,0,P98/P$12)</f>
        <v>4.0946560648022082E-3</v>
      </c>
      <c r="S98" s="1"/>
      <c r="T98" s="1">
        <f>SUM(OSRRefT22_18x_0)</f>
        <v>2072</v>
      </c>
      <c r="U98" s="1"/>
      <c r="V98" s="5">
        <f t="shared" ref="V98:V100" si="65">IF(T$12=0,0,T98/T$12)</f>
        <v>6.1705416198862975E-3</v>
      </c>
      <c r="W98" s="1"/>
      <c r="X98" s="1">
        <f t="shared" ref="X98:X100" si="66">+P98-T98</f>
        <v>295.5</v>
      </c>
      <c r="Y98" s="1"/>
      <c r="Z98" s="5">
        <f t="shared" ref="Z98:Z100" si="67">IF(T98=0,0,X98/T98)</f>
        <v>0.14261583011583012</v>
      </c>
    </row>
    <row r="99" spans="1:26" s="24" customFormat="1" hidden="1" outlineLevel="2" x14ac:dyDescent="0.3">
      <c r="A99" s="27"/>
      <c r="B99" s="11" t="str">
        <f>CONCATENATE("          ", "6303", " - ", "DATA PHONE LINES")</f>
        <v xml:space="preserve">          6303 - DATA PHONE LINES</v>
      </c>
      <c r="C99" s="11"/>
      <c r="D99" s="6"/>
      <c r="E99" s="2"/>
      <c r="F99" s="7">
        <f t="shared" si="60"/>
        <v>0</v>
      </c>
      <c r="G99" s="2"/>
      <c r="H99" s="6">
        <v>193</v>
      </c>
      <c r="I99" s="2"/>
      <c r="J99" s="7">
        <f t="shared" si="61"/>
        <v>5.8971992886694326E-4</v>
      </c>
      <c r="K99" s="2"/>
      <c r="L99" s="6">
        <f t="shared" si="62"/>
        <v>-193</v>
      </c>
      <c r="M99" s="2"/>
      <c r="N99" s="7">
        <f t="shared" si="63"/>
        <v>-1</v>
      </c>
      <c r="O99" s="11"/>
      <c r="P99" s="6"/>
      <c r="Q99" s="2"/>
      <c r="R99" s="7">
        <f t="shared" si="64"/>
        <v>0</v>
      </c>
      <c r="S99" s="2"/>
      <c r="T99" s="6">
        <v>386</v>
      </c>
      <c r="U99" s="2"/>
      <c r="V99" s="7">
        <f t="shared" si="65"/>
        <v>1.1495314021602852E-3</v>
      </c>
      <c r="W99" s="2"/>
      <c r="X99" s="6">
        <f t="shared" si="66"/>
        <v>-386</v>
      </c>
      <c r="Y99" s="2"/>
      <c r="Z99" s="7">
        <f t="shared" si="67"/>
        <v>-1</v>
      </c>
    </row>
    <row r="100" spans="1:26" s="24" customFormat="1" hidden="1" outlineLevel="2" x14ac:dyDescent="0.3">
      <c r="A100" s="27"/>
      <c r="B100" s="11" t="str">
        <f>CONCATENATE("          ", "6309", " - ", "TELEPHONE")</f>
        <v xml:space="preserve">          6309 - TELEPHONE</v>
      </c>
      <c r="C100" s="11"/>
      <c r="D100" s="6">
        <v>1344.95</v>
      </c>
      <c r="E100" s="2"/>
      <c r="F100" s="7">
        <f t="shared" si="60"/>
        <v>2.5115639879352307E-3</v>
      </c>
      <c r="G100" s="2"/>
      <c r="H100" s="6">
        <v>768</v>
      </c>
      <c r="I100" s="2"/>
      <c r="J100" s="7">
        <f t="shared" si="61"/>
        <v>2.3466575407762305E-3</v>
      </c>
      <c r="K100" s="2"/>
      <c r="L100" s="6">
        <f t="shared" si="62"/>
        <v>576.95000000000005</v>
      </c>
      <c r="M100" s="2"/>
      <c r="N100" s="7">
        <f t="shared" si="63"/>
        <v>0.75123697916666676</v>
      </c>
      <c r="O100" s="11"/>
      <c r="P100" s="6">
        <v>2367.5</v>
      </c>
      <c r="Q100" s="2"/>
      <c r="R100" s="7">
        <f t="shared" si="64"/>
        <v>4.0946560648022082E-3</v>
      </c>
      <c r="S100" s="2"/>
      <c r="T100" s="6">
        <v>1686</v>
      </c>
      <c r="U100" s="2"/>
      <c r="V100" s="7">
        <f t="shared" si="65"/>
        <v>5.0210102177260128E-3</v>
      </c>
      <c r="W100" s="2"/>
      <c r="X100" s="6">
        <f t="shared" si="66"/>
        <v>681.5</v>
      </c>
      <c r="Y100" s="2"/>
      <c r="Z100" s="7">
        <f t="shared" si="67"/>
        <v>0.40421115065243179</v>
      </c>
    </row>
    <row r="101" spans="1:26" s="28" customFormat="1" outlineLevel="1" collapsed="1" x14ac:dyDescent="0.3">
      <c r="A101" s="29"/>
      <c r="B101" s="14" t="str">
        <f>CONCATENATE("     ","Training                                          ")</f>
        <v xml:space="preserve">     Training                                          </v>
      </c>
      <c r="C101" s="14"/>
      <c r="D101" s="1">
        <f>SUM(OSRRefD22_19x_0)</f>
        <v>0</v>
      </c>
      <c r="E101" s="1"/>
      <c r="F101" s="5">
        <f t="shared" ref="F101:F106" si="68">IF(D$12=0,0,D101/D$12)</f>
        <v>0</v>
      </c>
      <c r="G101" s="1"/>
      <c r="H101" s="1">
        <f>SUM(OSRRefH22_19x_0)</f>
        <v>920</v>
      </c>
      <c r="I101" s="1"/>
      <c r="J101" s="5">
        <f t="shared" ref="J101:J106" si="69">IF(H$12=0,0,H101/H$12)</f>
        <v>2.811100179054859E-3</v>
      </c>
      <c r="K101" s="1"/>
      <c r="L101" s="1">
        <f t="shared" ref="L101:L106" si="70">+D101-H101</f>
        <v>-920</v>
      </c>
      <c r="M101" s="1"/>
      <c r="N101" s="5">
        <f t="shared" ref="N101:N106" si="71">IF(H101=0,0,L101/H101)</f>
        <v>-1</v>
      </c>
      <c r="O101" s="14"/>
      <c r="P101" s="1">
        <f>SUM(OSRRefP22_19x_0)</f>
        <v>0</v>
      </c>
      <c r="Q101" s="1"/>
      <c r="R101" s="5">
        <f t="shared" ref="R101:R106" si="72">IF(P$12=0,0,P101/P$12)</f>
        <v>0</v>
      </c>
      <c r="S101" s="1"/>
      <c r="T101" s="1">
        <f>SUM(OSRRefT22_19x_0)</f>
        <v>1880</v>
      </c>
      <c r="U101" s="1"/>
      <c r="V101" s="5">
        <f t="shared" ref="V101:V106" si="73">IF(T$12=0,0,T101/T$12)</f>
        <v>5.5987539794335132E-3</v>
      </c>
      <c r="W101" s="1"/>
      <c r="X101" s="1">
        <f t="shared" ref="X101:X106" si="74">+P101-T101</f>
        <v>-1880</v>
      </c>
      <c r="Y101" s="1"/>
      <c r="Z101" s="5">
        <f t="shared" ref="Z101:Z106" si="75">IF(T101=0,0,X101/T101)</f>
        <v>-1</v>
      </c>
    </row>
    <row r="102" spans="1:26" s="24" customFormat="1" hidden="1" outlineLevel="2" x14ac:dyDescent="0.3">
      <c r="A102" s="27"/>
      <c r="B102" s="11" t="str">
        <f>CONCATENATE("          ", "6376", " - ", "TRAINING")</f>
        <v xml:space="preserve">          6376 - TRAINING</v>
      </c>
      <c r="C102" s="11"/>
      <c r="D102" s="6"/>
      <c r="E102" s="2"/>
      <c r="F102" s="7">
        <f t="shared" si="68"/>
        <v>0</v>
      </c>
      <c r="G102" s="2"/>
      <c r="H102" s="6">
        <v>920</v>
      </c>
      <c r="I102" s="2"/>
      <c r="J102" s="7">
        <f t="shared" si="69"/>
        <v>2.811100179054859E-3</v>
      </c>
      <c r="K102" s="2"/>
      <c r="L102" s="6">
        <f t="shared" si="70"/>
        <v>-920</v>
      </c>
      <c r="M102" s="2"/>
      <c r="N102" s="7">
        <f t="shared" si="71"/>
        <v>-1</v>
      </c>
      <c r="O102" s="11"/>
      <c r="P102" s="6"/>
      <c r="Q102" s="2"/>
      <c r="R102" s="7">
        <f t="shared" si="72"/>
        <v>0</v>
      </c>
      <c r="S102" s="2"/>
      <c r="T102" s="6">
        <v>1880</v>
      </c>
      <c r="U102" s="2"/>
      <c r="V102" s="7">
        <f t="shared" si="73"/>
        <v>5.5987539794335132E-3</v>
      </c>
      <c r="W102" s="2"/>
      <c r="X102" s="6">
        <f t="shared" si="74"/>
        <v>-1880</v>
      </c>
      <c r="Y102" s="2"/>
      <c r="Z102" s="7">
        <f t="shared" si="75"/>
        <v>-1</v>
      </c>
    </row>
    <row r="103" spans="1:26" s="28" customFormat="1" outlineLevel="1" collapsed="1" x14ac:dyDescent="0.3">
      <c r="A103" s="29"/>
      <c r="B103" s="14" t="str">
        <f>CONCATENATE("     ","Travel                                            ")</f>
        <v xml:space="preserve">     Travel                                            </v>
      </c>
      <c r="C103" s="14"/>
      <c r="D103" s="1">
        <f>SUM(OSRRefD22_20x_0)</f>
        <v>595</v>
      </c>
      <c r="E103" s="1"/>
      <c r="F103" s="5">
        <f t="shared" si="68"/>
        <v>1.1111049279314935E-3</v>
      </c>
      <c r="G103" s="1"/>
      <c r="H103" s="1">
        <f>SUM(OSRRefH22_20x_0)</f>
        <v>0</v>
      </c>
      <c r="I103" s="1"/>
      <c r="J103" s="5">
        <f t="shared" si="69"/>
        <v>0</v>
      </c>
      <c r="K103" s="1"/>
      <c r="L103" s="1">
        <f t="shared" si="70"/>
        <v>595</v>
      </c>
      <c r="M103" s="1"/>
      <c r="N103" s="5">
        <f t="shared" si="71"/>
        <v>0</v>
      </c>
      <c r="O103" s="14"/>
      <c r="P103" s="1">
        <f>SUM(OSRRefP22_20x_0)</f>
        <v>595</v>
      </c>
      <c r="Q103" s="1"/>
      <c r="R103" s="5">
        <f t="shared" si="72"/>
        <v>1.0290687892533534E-3</v>
      </c>
      <c r="S103" s="1"/>
      <c r="T103" s="1">
        <f>SUM(OSRRefT22_20x_0)</f>
        <v>0</v>
      </c>
      <c r="U103" s="1"/>
      <c r="V103" s="5">
        <f t="shared" si="73"/>
        <v>0</v>
      </c>
      <c r="W103" s="1"/>
      <c r="X103" s="1">
        <f t="shared" si="74"/>
        <v>595</v>
      </c>
      <c r="Y103" s="1"/>
      <c r="Z103" s="5">
        <f t="shared" si="75"/>
        <v>0</v>
      </c>
    </row>
    <row r="104" spans="1:26" s="24" customFormat="1" hidden="1" outlineLevel="2" x14ac:dyDescent="0.3">
      <c r="A104" s="27"/>
      <c r="B104" s="11" t="str">
        <f>CONCATENATE("          ", "6292", " - ", "TRAVEL/CONFERENCE")</f>
        <v xml:space="preserve">          6292 - TRAVEL/CONFERENCE</v>
      </c>
      <c r="C104" s="11"/>
      <c r="D104" s="6">
        <v>595</v>
      </c>
      <c r="E104" s="2"/>
      <c r="F104" s="7">
        <f t="shared" si="68"/>
        <v>1.1111049279314935E-3</v>
      </c>
      <c r="G104" s="2"/>
      <c r="H104" s="6"/>
      <c r="I104" s="2"/>
      <c r="J104" s="7">
        <f t="shared" si="69"/>
        <v>0</v>
      </c>
      <c r="K104" s="2"/>
      <c r="L104" s="6">
        <f t="shared" si="70"/>
        <v>595</v>
      </c>
      <c r="M104" s="2"/>
      <c r="N104" s="7">
        <f t="shared" si="71"/>
        <v>0</v>
      </c>
      <c r="O104" s="11"/>
      <c r="P104" s="6">
        <v>595</v>
      </c>
      <c r="Q104" s="2"/>
      <c r="R104" s="7">
        <f t="shared" si="72"/>
        <v>1.0290687892533534E-3</v>
      </c>
      <c r="S104" s="2"/>
      <c r="T104" s="6"/>
      <c r="U104" s="2"/>
      <c r="V104" s="7">
        <f t="shared" si="73"/>
        <v>0</v>
      </c>
      <c r="W104" s="2"/>
      <c r="X104" s="6">
        <f t="shared" si="74"/>
        <v>595</v>
      </c>
      <c r="Y104" s="2"/>
      <c r="Z104" s="7">
        <f t="shared" si="75"/>
        <v>0</v>
      </c>
    </row>
    <row r="105" spans="1:26" s="28" customFormat="1" outlineLevel="1" collapsed="1" x14ac:dyDescent="0.3">
      <c r="A105" s="29"/>
      <c r="B105" s="14" t="str">
        <f>CONCATENATE("     ","Utilities                                         ")</f>
        <v xml:space="preserve">     Utilities                                         </v>
      </c>
      <c r="C105" s="14"/>
      <c r="D105" s="1">
        <f>SUM(OSRRefD22_21x_0)</f>
        <v>8150</v>
      </c>
      <c r="E105" s="1"/>
      <c r="F105" s="5">
        <f t="shared" si="68"/>
        <v>1.521933640780113E-2</v>
      </c>
      <c r="G105" s="1"/>
      <c r="H105" s="1">
        <f>SUM(OSRRefH22_21x_0)</f>
        <v>8667</v>
      </c>
      <c r="I105" s="1"/>
      <c r="J105" s="5">
        <f t="shared" si="69"/>
        <v>2.6482397012900505E-2</v>
      </c>
      <c r="K105" s="1"/>
      <c r="L105" s="1">
        <f t="shared" si="70"/>
        <v>-517</v>
      </c>
      <c r="M105" s="1"/>
      <c r="N105" s="5">
        <f t="shared" si="71"/>
        <v>-5.9651551863389871E-2</v>
      </c>
      <c r="O105" s="14"/>
      <c r="P105" s="1">
        <f>SUM(OSRRefP22_21x_0)</f>
        <v>16300</v>
      </c>
      <c r="Q105" s="1"/>
      <c r="R105" s="5">
        <f t="shared" si="72"/>
        <v>2.8191296243411192E-2</v>
      </c>
      <c r="S105" s="1"/>
      <c r="T105" s="1">
        <f>SUM(OSRRefT22_21x_0)</f>
        <v>17334</v>
      </c>
      <c r="U105" s="1"/>
      <c r="V105" s="5">
        <f t="shared" si="73"/>
        <v>5.1621702914627934E-2</v>
      </c>
      <c r="W105" s="1"/>
      <c r="X105" s="1">
        <f t="shared" si="74"/>
        <v>-1034</v>
      </c>
      <c r="Y105" s="1"/>
      <c r="Z105" s="5">
        <f t="shared" si="75"/>
        <v>-5.9651551863389871E-2</v>
      </c>
    </row>
    <row r="106" spans="1:26" s="24" customFormat="1" hidden="1" outlineLevel="2" x14ac:dyDescent="0.3">
      <c r="A106" s="27"/>
      <c r="B106" s="11" t="str">
        <f>CONCATENATE("          ", "6274", " - ", "UTILITIES")</f>
        <v xml:space="preserve">          6274 - UTILITIES</v>
      </c>
      <c r="C106" s="11"/>
      <c r="D106" s="6">
        <v>8150</v>
      </c>
      <c r="E106" s="2"/>
      <c r="F106" s="7">
        <f t="shared" si="68"/>
        <v>1.521933640780113E-2</v>
      </c>
      <c r="G106" s="2"/>
      <c r="H106" s="6">
        <v>8667</v>
      </c>
      <c r="I106" s="2"/>
      <c r="J106" s="7">
        <f t="shared" si="69"/>
        <v>2.6482397012900505E-2</v>
      </c>
      <c r="K106" s="2"/>
      <c r="L106" s="6">
        <f t="shared" si="70"/>
        <v>-517</v>
      </c>
      <c r="M106" s="2"/>
      <c r="N106" s="7">
        <f t="shared" si="71"/>
        <v>-5.9651551863389871E-2</v>
      </c>
      <c r="O106" s="11"/>
      <c r="P106" s="6">
        <v>16300</v>
      </c>
      <c r="Q106" s="2"/>
      <c r="R106" s="7">
        <f t="shared" si="72"/>
        <v>2.8191296243411192E-2</v>
      </c>
      <c r="S106" s="2"/>
      <c r="T106" s="6">
        <v>17334</v>
      </c>
      <c r="U106" s="2"/>
      <c r="V106" s="7">
        <f t="shared" si="73"/>
        <v>5.1621702914627934E-2</v>
      </c>
      <c r="W106" s="2"/>
      <c r="X106" s="6">
        <f t="shared" si="74"/>
        <v>-1034</v>
      </c>
      <c r="Y106" s="2"/>
      <c r="Z106" s="7">
        <f t="shared" si="75"/>
        <v>-5.9651551863389871E-2</v>
      </c>
    </row>
    <row r="107" spans="1:26" s="53" customFormat="1" x14ac:dyDescent="0.3">
      <c r="A107" s="36"/>
      <c r="B107" s="36"/>
      <c r="C107" s="36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6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collapsed="1" x14ac:dyDescent="0.3">
      <c r="A108" s="10"/>
      <c r="B108" s="25" t="s">
        <v>293</v>
      </c>
      <c r="C108" s="10"/>
      <c r="D108" s="4">
        <f>SUM(OSRRefD25x_0)</f>
        <v>11546.83</v>
      </c>
      <c r="E108" s="4"/>
      <c r="F108" s="12">
        <f t="shared" ref="F108:F111" si="76">IF(D$12=0,0,D108/D$12)</f>
        <v>2.1562587756281022E-2</v>
      </c>
      <c r="G108" s="4"/>
      <c r="H108" s="4">
        <f>SUM(OSRRefH25x_0)</f>
        <v>0</v>
      </c>
      <c r="I108" s="4"/>
      <c r="J108" s="12">
        <f t="shared" ref="J108:J111" si="77">IF(H$12=0,0,H108/H$12)</f>
        <v>0</v>
      </c>
      <c r="K108" s="4"/>
      <c r="L108" s="4">
        <f t="shared" ref="L108:L111" si="78">+D108-H108</f>
        <v>11546.83</v>
      </c>
      <c r="M108" s="4"/>
      <c r="N108" s="12">
        <f t="shared" ref="N108:N111" si="79">IF(H108=0,0,L108/H108)</f>
        <v>0</v>
      </c>
      <c r="O108" s="10"/>
      <c r="P108" s="4">
        <f>SUM(OSRRefP25x_0)</f>
        <v>14202.250000000002</v>
      </c>
      <c r="Q108" s="4"/>
      <c r="R108" s="12">
        <f t="shared" ref="R108:R111" si="80">IF(P$12=0,0,P108/P$12)</f>
        <v>2.4563180188526788E-2</v>
      </c>
      <c r="S108" s="4"/>
      <c r="T108" s="4">
        <f>SUM(OSRRefT25x_0)</f>
        <v>0</v>
      </c>
      <c r="U108" s="4"/>
      <c r="V108" s="12">
        <f t="shared" ref="V108:V111" si="81">IF(T$12=0,0,T108/T$12)</f>
        <v>0</v>
      </c>
      <c r="W108" s="4"/>
      <c r="X108" s="4">
        <f t="shared" ref="X108:X111" si="82">+P108-T108</f>
        <v>14202.250000000002</v>
      </c>
      <c r="Y108" s="4"/>
      <c r="Z108" s="12">
        <f t="shared" ref="Z108:Z111" si="83">IF(T108=0,0,X108/T108)</f>
        <v>0</v>
      </c>
    </row>
    <row r="109" spans="1:26" s="24" customFormat="1" hidden="1" outlineLevel="1" x14ac:dyDescent="0.3">
      <c r="A109" s="44"/>
      <c r="B109" s="11" t="str">
        <f>CONCATENATE("          ", "9150", " - ", "MISC. INCOME")</f>
        <v xml:space="preserve">          9150 - MISC. INCOME</v>
      </c>
      <c r="C109" s="11"/>
      <c r="D109" s="2">
        <f>--1041.32</f>
        <v>1041.32</v>
      </c>
      <c r="E109" s="2"/>
      <c r="F109" s="19">
        <f t="shared" si="76"/>
        <v>1.9445643421069291E-3</v>
      </c>
      <c r="G109" s="2"/>
      <c r="H109" s="2"/>
      <c r="I109" s="2"/>
      <c r="J109" s="19">
        <f t="shared" si="77"/>
        <v>0</v>
      </c>
      <c r="K109" s="2"/>
      <c r="L109" s="2">
        <f t="shared" si="78"/>
        <v>1041.32</v>
      </c>
      <c r="M109" s="2"/>
      <c r="N109" s="19">
        <f t="shared" si="79"/>
        <v>0</v>
      </c>
      <c r="O109" s="11"/>
      <c r="P109" s="2">
        <f>--2458.62</f>
        <v>2458.62</v>
      </c>
      <c r="Q109" s="2"/>
      <c r="R109" s="19">
        <f t="shared" si="80"/>
        <v>4.2522505993850077E-3</v>
      </c>
      <c r="S109" s="2"/>
      <c r="T109" s="2"/>
      <c r="U109" s="2"/>
      <c r="V109" s="19">
        <f t="shared" si="81"/>
        <v>0</v>
      </c>
      <c r="W109" s="2"/>
      <c r="X109" s="2">
        <f t="shared" si="82"/>
        <v>2458.62</v>
      </c>
      <c r="Y109" s="2"/>
      <c r="Z109" s="19">
        <f t="shared" si="83"/>
        <v>0</v>
      </c>
    </row>
    <row r="110" spans="1:26" s="24" customFormat="1" hidden="1" outlineLevel="1" x14ac:dyDescent="0.3">
      <c r="A110" s="44"/>
      <c r="B110" s="11" t="str">
        <f>CONCATENATE("          ", "9160", " - ", "MISC. INCOME")</f>
        <v xml:space="preserve">          9160 - MISC. INCOME</v>
      </c>
      <c r="C110" s="11"/>
      <c r="D110" s="2">
        <f>--10000</f>
        <v>10000</v>
      </c>
      <c r="E110" s="2"/>
      <c r="F110" s="19">
        <f t="shared" si="76"/>
        <v>1.8674032402209974E-2</v>
      </c>
      <c r="G110" s="2"/>
      <c r="H110" s="2"/>
      <c r="I110" s="2"/>
      <c r="J110" s="19">
        <f t="shared" si="77"/>
        <v>0</v>
      </c>
      <c r="K110" s="2"/>
      <c r="L110" s="2">
        <f t="shared" si="78"/>
        <v>10000</v>
      </c>
      <c r="M110" s="2"/>
      <c r="N110" s="19">
        <f t="shared" si="79"/>
        <v>0</v>
      </c>
      <c r="O110" s="11"/>
      <c r="P110" s="2">
        <f>--11238.12</f>
        <v>11238.12</v>
      </c>
      <c r="Q110" s="2"/>
      <c r="R110" s="19">
        <f t="shared" si="80"/>
        <v>1.9436636204846883E-2</v>
      </c>
      <c r="S110" s="2"/>
      <c r="T110" s="2"/>
      <c r="U110" s="2"/>
      <c r="V110" s="19">
        <f t="shared" si="81"/>
        <v>0</v>
      </c>
      <c r="W110" s="2"/>
      <c r="X110" s="2">
        <f t="shared" si="82"/>
        <v>11238.12</v>
      </c>
      <c r="Y110" s="2"/>
      <c r="Z110" s="19">
        <f t="shared" si="83"/>
        <v>0</v>
      </c>
    </row>
    <row r="111" spans="1:26" s="24" customFormat="1" hidden="1" outlineLevel="1" x14ac:dyDescent="0.3">
      <c r="A111" s="44"/>
      <c r="B111" s="11" t="str">
        <f>CONCATENATE("          ", "9165", " - ", "OTHER INCOME")</f>
        <v xml:space="preserve">          9165 - OTHER INCOME</v>
      </c>
      <c r="C111" s="11"/>
      <c r="D111" s="2">
        <f>--505.51</f>
        <v>505.51</v>
      </c>
      <c r="E111" s="2"/>
      <c r="F111" s="19">
        <f t="shared" si="76"/>
        <v>9.4399101196411647E-4</v>
      </c>
      <c r="G111" s="2"/>
      <c r="H111" s="2"/>
      <c r="I111" s="2"/>
      <c r="J111" s="19">
        <f t="shared" si="77"/>
        <v>0</v>
      </c>
      <c r="K111" s="2"/>
      <c r="L111" s="2">
        <f t="shared" si="78"/>
        <v>505.51</v>
      </c>
      <c r="M111" s="2"/>
      <c r="N111" s="19">
        <f t="shared" si="79"/>
        <v>0</v>
      </c>
      <c r="O111" s="11"/>
      <c r="P111" s="2">
        <f>--505.51</f>
        <v>505.51</v>
      </c>
      <c r="Q111" s="2"/>
      <c r="R111" s="19">
        <f t="shared" si="80"/>
        <v>8.7429338429489522E-4</v>
      </c>
      <c r="S111" s="2"/>
      <c r="T111" s="2"/>
      <c r="U111" s="2"/>
      <c r="V111" s="19">
        <f t="shared" si="81"/>
        <v>0</v>
      </c>
      <c r="W111" s="2"/>
      <c r="X111" s="2">
        <f t="shared" si="82"/>
        <v>505.51</v>
      </c>
      <c r="Y111" s="2"/>
      <c r="Z111" s="19">
        <f t="shared" si="83"/>
        <v>0</v>
      </c>
    </row>
    <row r="112" spans="1:26" x14ac:dyDescent="0.3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3">
      <c r="A113" s="10"/>
      <c r="B113" s="26" t="s">
        <v>277</v>
      </c>
      <c r="C113" s="26"/>
      <c r="D113" s="21">
        <f>+D25-D27+D108</f>
        <v>-157299.32999999999</v>
      </c>
      <c r="E113" s="13"/>
      <c r="F113" s="20">
        <f>IF(D$12=0,0,D113/D$12)</f>
        <v>-0.29374127852659193</v>
      </c>
      <c r="G113" s="13"/>
      <c r="H113" s="21">
        <f>+H25-H27+H108</f>
        <v>-415714.53532126918</v>
      </c>
      <c r="I113" s="13"/>
      <c r="J113" s="20">
        <f>IF(H$12=0,0,H113/H$12)</f>
        <v>-1.2702339181275297</v>
      </c>
      <c r="K113" s="16"/>
      <c r="L113" s="21">
        <f>+D113-H113</f>
        <v>258415.2053212692</v>
      </c>
      <c r="M113" s="16"/>
      <c r="N113" s="20">
        <f>IF(H113=0,0,L113/H113)</f>
        <v>-0.62161695915097803</v>
      </c>
      <c r="O113" s="25"/>
      <c r="P113" s="21">
        <f>+P25-P27+P108</f>
        <v>-474623.48999999982</v>
      </c>
      <c r="Q113" s="13"/>
      <c r="R113" s="20">
        <f>IF(P$12=0,0,P113/P$12)</f>
        <v>-0.82087431967311064</v>
      </c>
      <c r="S113" s="13"/>
      <c r="T113" s="21">
        <f>+T25-T27+T108</f>
        <v>-917016.58839367214</v>
      </c>
      <c r="U113" s="13"/>
      <c r="V113" s="20">
        <f>IF(T$12=0,0,T113/T$12)</f>
        <v>-2.7309309965295832</v>
      </c>
      <c r="W113" s="16"/>
      <c r="X113" s="21">
        <f>+P113-T113</f>
        <v>442393.09839367232</v>
      </c>
      <c r="Y113" s="16"/>
      <c r="Z113" s="20">
        <f>IF(T113=0,0,X113/T113)</f>
        <v>-0.48242649477978083</v>
      </c>
    </row>
    <row r="114" spans="1:26" x14ac:dyDescent="0.3">
      <c r="A114" s="9"/>
      <c r="B114" s="10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3">
      <c r="A115" s="52"/>
      <c r="B115" s="10" t="s">
        <v>128</v>
      </c>
      <c r="C115" s="10"/>
      <c r="D115" s="4">
        <v>66678.61</v>
      </c>
      <c r="E115" s="4"/>
      <c r="F115" s="12">
        <f>IF(D$12=0,0,D115/D$12)</f>
        <v>0.12451585236743221</v>
      </c>
      <c r="G115" s="4"/>
      <c r="H115" s="4">
        <v>34523</v>
      </c>
      <c r="I115" s="4"/>
      <c r="J115" s="12">
        <f>IF(H$12=0,0,H115/H$12)</f>
        <v>0.10548653421903359</v>
      </c>
      <c r="K115" s="4"/>
      <c r="L115" s="4">
        <f>+D115-H115</f>
        <v>32155.61</v>
      </c>
      <c r="M115" s="4"/>
      <c r="N115" s="12">
        <f>IF(H115=0,0,L115/H115)</f>
        <v>0.93142571618920722</v>
      </c>
      <c r="O115" s="10"/>
      <c r="P115" s="4">
        <v>86401.07</v>
      </c>
      <c r="Q115" s="4"/>
      <c r="R115" s="12">
        <f>IF(P$12=0,0,P115/P$12)</f>
        <v>0.14943301595814157</v>
      </c>
      <c r="S115" s="4"/>
      <c r="T115" s="4">
        <v>37606</v>
      </c>
      <c r="U115" s="4"/>
      <c r="V115" s="12">
        <f>IF(T$12=0,0,T115/T$12)</f>
        <v>0.11199294795243442</v>
      </c>
      <c r="W115" s="4"/>
      <c r="X115" s="4">
        <f>+P115-T115</f>
        <v>48795.070000000007</v>
      </c>
      <c r="Y115" s="4"/>
      <c r="Z115" s="12">
        <f>IF(T115=0,0,X115/T115)</f>
        <v>1.2975341700792429</v>
      </c>
    </row>
    <row r="116" spans="1:26" x14ac:dyDescent="0.3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" thickBot="1" x14ac:dyDescent="0.35">
      <c r="A117" s="10"/>
      <c r="B117" s="26" t="s">
        <v>126</v>
      </c>
      <c r="C117" s="26"/>
      <c r="D117" s="30">
        <f>+D113-D115</f>
        <v>-223977.94</v>
      </c>
      <c r="E117" s="13"/>
      <c r="F117" s="35">
        <f>IF(D$12=0,0,D117/D$12)</f>
        <v>-0.41825713089402417</v>
      </c>
      <c r="G117" s="13"/>
      <c r="H117" s="30">
        <f>+H113-H115</f>
        <v>-450237.53532126918</v>
      </c>
      <c r="I117" s="13"/>
      <c r="J117" s="35">
        <f>IF(H$12=0,0,H117/H$12)</f>
        <v>-1.3757204523465634</v>
      </c>
      <c r="K117" s="16"/>
      <c r="L117" s="30">
        <f>D117-H117</f>
        <v>226259.59532126918</v>
      </c>
      <c r="M117" s="16"/>
      <c r="N117" s="35">
        <f>IF(H117=0,0,L117/H117)</f>
        <v>-0.50253383507845595</v>
      </c>
      <c r="O117" s="25"/>
      <c r="P117" s="30">
        <f>+P113-P115</f>
        <v>-561024.55999999982</v>
      </c>
      <c r="Q117" s="13"/>
      <c r="R117" s="35">
        <f>IF(P$12=0,0,P117/P$12)</f>
        <v>-0.97030733563125227</v>
      </c>
      <c r="S117" s="13"/>
      <c r="T117" s="30">
        <f>+T113-T115</f>
        <v>-954622.58839367214</v>
      </c>
      <c r="U117" s="13"/>
      <c r="V117" s="35">
        <f>IF(T$12=0,0,T117/T$12)</f>
        <v>-2.8429239444820174</v>
      </c>
      <c r="W117" s="16"/>
      <c r="X117" s="30">
        <f>P117-T117</f>
        <v>393598.02839367231</v>
      </c>
      <c r="Y117" s="16"/>
      <c r="Z117" s="35">
        <f>IF(T117=0,0,X117/T117)</f>
        <v>-0.41230747436636012</v>
      </c>
    </row>
    <row r="118" spans="1:26" ht="15" thickTop="1" x14ac:dyDescent="0.3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x14ac:dyDescent="0.3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" thickBot="1" x14ac:dyDescent="0.35">
      <c r="A120" s="10"/>
      <c r="B120" s="26" t="s">
        <v>294</v>
      </c>
      <c r="C120" s="26"/>
      <c r="D120" s="32">
        <f>SUM(D117:D119)</f>
        <v>-223977.94</v>
      </c>
      <c r="E120" s="13"/>
      <c r="F120" s="34">
        <f>IF(D$12=0,0,D120/D$12)</f>
        <v>-0.41825713089402417</v>
      </c>
      <c r="G120" s="13"/>
      <c r="H120" s="32">
        <f>SUM(H117:H119)</f>
        <v>-450237.53532126918</v>
      </c>
      <c r="I120" s="13"/>
      <c r="J120" s="34">
        <f>IF(H$12=0,0,H120/H$12)</f>
        <v>-1.3757204523465634</v>
      </c>
      <c r="K120" s="16"/>
      <c r="L120" s="32">
        <f>+D120-H120</f>
        <v>226259.59532126918</v>
      </c>
      <c r="M120" s="16"/>
      <c r="N120" s="34">
        <f>IF(H120=0,0,L120/H120)</f>
        <v>-0.50253383507845595</v>
      </c>
      <c r="O120" s="25"/>
      <c r="P120" s="32">
        <f>SUM(P117:P119)</f>
        <v>-561024.55999999982</v>
      </c>
      <c r="Q120" s="13"/>
      <c r="R120" s="34">
        <f>IF(P$12=0,0,P120/P$12)</f>
        <v>-0.97030733563125227</v>
      </c>
      <c r="S120" s="13"/>
      <c r="T120" s="32">
        <f>SUM(T117:T119)</f>
        <v>-954622.58839367214</v>
      </c>
      <c r="U120" s="13"/>
      <c r="V120" s="34">
        <f>IF(T$12=0,0,T120/T$12)</f>
        <v>-2.8429239444820174</v>
      </c>
      <c r="W120" s="16"/>
      <c r="X120" s="32">
        <f>+P120-T120</f>
        <v>393598.02839367231</v>
      </c>
      <c r="Y120" s="16"/>
      <c r="Z120" s="34">
        <f>IF(T120=0,0,X120/T120)</f>
        <v>-0.41230747436636012</v>
      </c>
    </row>
    <row r="121" spans="1:26" ht="15" thickTop="1" x14ac:dyDescent="0.3">
      <c r="A121" s="9"/>
      <c r="C121" s="9"/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3">
      <c r="A122" s="9"/>
      <c r="B122" s="61">
        <v>44470.835453854168</v>
      </c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3">
      <c r="A123" s="9"/>
      <c r="B123" s="58" t="s">
        <v>56</v>
      </c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3">
      <c r="A124" s="9"/>
      <c r="B124" s="55"/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3"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1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55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58943.909999999996</v>
      </c>
      <c r="E12" s="4"/>
      <c r="F12" s="12"/>
      <c r="G12" s="4"/>
      <c r="H12" s="4">
        <f>SUM(OSRRefH13x_0)</f>
        <v>57548</v>
      </c>
      <c r="I12" s="4"/>
      <c r="J12" s="12"/>
      <c r="K12" s="4"/>
      <c r="L12" s="4">
        <f t="shared" ref="L12:L17" si="0">+D12-H12</f>
        <v>1395.9099999999962</v>
      </c>
      <c r="M12" s="4"/>
      <c r="N12" s="12">
        <f t="shared" ref="N12:N17" si="1">IF(H12=0,0,L12/H12)</f>
        <v>2.4256446792242932E-2</v>
      </c>
      <c r="O12" s="10"/>
      <c r="P12" s="4">
        <f>SUM(OSRRefP13x_0)</f>
        <v>78646.22</v>
      </c>
      <c r="Q12" s="4"/>
      <c r="R12" s="12"/>
      <c r="S12" s="4"/>
      <c r="T12" s="4">
        <f>SUM(OSRRefT13x_0)</f>
        <v>66063</v>
      </c>
      <c r="U12" s="4"/>
      <c r="V12" s="12"/>
      <c r="W12" s="4"/>
      <c r="X12" s="4">
        <f t="shared" ref="X12:X17" si="2">+P12-T12</f>
        <v>12583.220000000001</v>
      </c>
      <c r="Y12" s="4"/>
      <c r="Z12" s="12">
        <f t="shared" ref="Z12:Z17" si="3">IF(T12=0,0,X12/T12)</f>
        <v>0.19047303331668258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--1234.92</f>
        <v>1234.92</v>
      </c>
      <c r="E13" s="2"/>
      <c r="F13" s="19"/>
      <c r="G13" s="2"/>
      <c r="H13" s="2">
        <v>16770</v>
      </c>
      <c r="I13" s="2"/>
      <c r="J13" s="19"/>
      <c r="K13" s="2"/>
      <c r="L13" s="2">
        <f t="shared" si="0"/>
        <v>-15535.08</v>
      </c>
      <c r="M13" s="2"/>
      <c r="N13" s="19">
        <f t="shared" si="1"/>
        <v>-0.9263613595706619</v>
      </c>
      <c r="O13" s="11"/>
      <c r="P13" s="2">
        <f>--1234.92</f>
        <v>1234.92</v>
      </c>
      <c r="Q13" s="2"/>
      <c r="R13" s="19"/>
      <c r="S13" s="2"/>
      <c r="T13" s="2">
        <v>19532</v>
      </c>
      <c r="U13" s="2"/>
      <c r="V13" s="19"/>
      <c r="W13" s="2"/>
      <c r="X13" s="2">
        <f t="shared" si="2"/>
        <v>-18297.080000000002</v>
      </c>
      <c r="Y13" s="2"/>
      <c r="Z13" s="19">
        <f t="shared" si="3"/>
        <v>-0.93677452385828397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--20639.51</f>
        <v>20639.509999999998</v>
      </c>
      <c r="E14" s="2"/>
      <c r="F14" s="19"/>
      <c r="G14" s="2"/>
      <c r="H14" s="2"/>
      <c r="I14" s="2"/>
      <c r="J14" s="19"/>
      <c r="K14" s="2"/>
      <c r="L14" s="2">
        <f t="shared" si="0"/>
        <v>20639.509999999998</v>
      </c>
      <c r="M14" s="2"/>
      <c r="N14" s="19">
        <f t="shared" si="1"/>
        <v>0</v>
      </c>
      <c r="O14" s="11"/>
      <c r="P14" s="2">
        <f>--31270.44</f>
        <v>31270.44</v>
      </c>
      <c r="Q14" s="2"/>
      <c r="R14" s="19"/>
      <c r="S14" s="2"/>
      <c r="T14" s="2"/>
      <c r="U14" s="2"/>
      <c r="V14" s="19"/>
      <c r="W14" s="2"/>
      <c r="X14" s="2">
        <f t="shared" si="2"/>
        <v>31270.44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--5299.87</f>
        <v>5299.87</v>
      </c>
      <c r="E15" s="2"/>
      <c r="F15" s="19"/>
      <c r="G15" s="2"/>
      <c r="H15" s="2">
        <v>40778</v>
      </c>
      <c r="I15" s="2"/>
      <c r="J15" s="19"/>
      <c r="K15" s="2"/>
      <c r="L15" s="2">
        <f t="shared" si="0"/>
        <v>-35478.129999999997</v>
      </c>
      <c r="M15" s="2"/>
      <c r="N15" s="19">
        <f t="shared" si="1"/>
        <v>-0.8700311442444455</v>
      </c>
      <c r="O15" s="11"/>
      <c r="P15" s="2">
        <f>--5299.87</f>
        <v>5299.87</v>
      </c>
      <c r="Q15" s="2"/>
      <c r="R15" s="19"/>
      <c r="S15" s="2"/>
      <c r="T15" s="2">
        <v>46531</v>
      </c>
      <c r="U15" s="2"/>
      <c r="V15" s="19"/>
      <c r="W15" s="2"/>
      <c r="X15" s="2">
        <f t="shared" si="2"/>
        <v>-41231.129999999997</v>
      </c>
      <c r="Y15" s="2"/>
      <c r="Z15" s="19">
        <f t="shared" si="3"/>
        <v>-0.88610023425243378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--31639.26</f>
        <v>31639.26</v>
      </c>
      <c r="E16" s="2"/>
      <c r="F16" s="19"/>
      <c r="G16" s="2"/>
      <c r="H16" s="2"/>
      <c r="I16" s="2"/>
      <c r="J16" s="19"/>
      <c r="K16" s="2"/>
      <c r="L16" s="2">
        <f t="shared" si="0"/>
        <v>31639.26</v>
      </c>
      <c r="M16" s="2"/>
      <c r="N16" s="19">
        <f t="shared" si="1"/>
        <v>0</v>
      </c>
      <c r="O16" s="11"/>
      <c r="P16" s="2">
        <f>--40710.64</f>
        <v>40710.639999999999</v>
      </c>
      <c r="Q16" s="2"/>
      <c r="R16" s="19"/>
      <c r="S16" s="2"/>
      <c r="T16" s="2"/>
      <c r="U16" s="2"/>
      <c r="V16" s="19"/>
      <c r="W16" s="2"/>
      <c r="X16" s="2">
        <f t="shared" si="2"/>
        <v>40710.639999999999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--130.35</f>
        <v>130.35</v>
      </c>
      <c r="E17" s="2"/>
      <c r="F17" s="19"/>
      <c r="G17" s="2"/>
      <c r="H17" s="2"/>
      <c r="I17" s="2"/>
      <c r="J17" s="19"/>
      <c r="K17" s="2"/>
      <c r="L17" s="2">
        <f t="shared" si="0"/>
        <v>130.35</v>
      </c>
      <c r="M17" s="2"/>
      <c r="N17" s="19">
        <f t="shared" si="1"/>
        <v>0</v>
      </c>
      <c r="O17" s="11"/>
      <c r="P17" s="2">
        <f>--130.35</f>
        <v>130.35</v>
      </c>
      <c r="Q17" s="2"/>
      <c r="R17" s="19"/>
      <c r="S17" s="2"/>
      <c r="T17" s="2"/>
      <c r="U17" s="2"/>
      <c r="V17" s="19"/>
      <c r="W17" s="2"/>
      <c r="X17" s="2">
        <f t="shared" si="2"/>
        <v>130.35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17383.61</v>
      </c>
      <c r="E19" s="4"/>
      <c r="F19" s="12">
        <f t="shared" ref="F19:F22" si="4">IF(D$12=0,0,D19/D$12)</f>
        <v>0.29491782950944384</v>
      </c>
      <c r="G19" s="4"/>
      <c r="H19" s="4">
        <f>SUM(OSRRefH16x_0)</f>
        <v>23246</v>
      </c>
      <c r="I19" s="4"/>
      <c r="J19" s="12">
        <f t="shared" ref="J19:J22" si="5">IF(H$12=0,0,H19/H$12)</f>
        <v>0.40394105789949258</v>
      </c>
      <c r="K19" s="4"/>
      <c r="L19" s="4">
        <f t="shared" ref="L19:L22" si="6">+D19-H19</f>
        <v>-5862.3899999999994</v>
      </c>
      <c r="M19" s="4"/>
      <c r="N19" s="12">
        <f t="shared" ref="N19:N22" si="7">IF(H19=0,0,L19/H19)</f>
        <v>-0.25218919383980037</v>
      </c>
      <c r="O19" s="10"/>
      <c r="P19" s="4">
        <f>SUM(OSRRefP16x_0)</f>
        <v>22442.989999999998</v>
      </c>
      <c r="Q19" s="4"/>
      <c r="R19" s="12">
        <f t="shared" ref="R19:R22" si="8">IF(P$12=0,0,P19/P$12)</f>
        <v>0.28536641684749753</v>
      </c>
      <c r="S19" s="4"/>
      <c r="T19" s="4">
        <f>SUM(OSRRefT16x_0)</f>
        <v>26495</v>
      </c>
      <c r="U19" s="4"/>
      <c r="V19" s="12">
        <f t="shared" ref="V19:V22" si="9">IF(T$12=0,0,T19/T$12)</f>
        <v>0.40105656721614219</v>
      </c>
      <c r="W19" s="4"/>
      <c r="X19" s="4">
        <f t="shared" ref="X19:X22" si="10">+P19-T19</f>
        <v>-4052.010000000002</v>
      </c>
      <c r="Y19" s="4"/>
      <c r="Z19" s="12">
        <f t="shared" ref="Z19:Z22" si="11">IF(T19=0,0,X19/T19)</f>
        <v>-0.15293489337610877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23246</v>
      </c>
      <c r="I20" s="2"/>
      <c r="J20" s="19">
        <f t="shared" si="5"/>
        <v>0.40394105789949258</v>
      </c>
      <c r="K20" s="2"/>
      <c r="L20" s="2">
        <f t="shared" si="6"/>
        <v>-23246</v>
      </c>
      <c r="M20" s="2"/>
      <c r="N20" s="19">
        <f t="shared" si="7"/>
        <v>-1</v>
      </c>
      <c r="O20" s="11"/>
      <c r="P20" s="2"/>
      <c r="Q20" s="2"/>
      <c r="R20" s="19">
        <f t="shared" si="8"/>
        <v>0</v>
      </c>
      <c r="S20" s="2"/>
      <c r="T20" s="2">
        <v>26495</v>
      </c>
      <c r="U20" s="2"/>
      <c r="V20" s="19">
        <f t="shared" si="9"/>
        <v>0.40105656721614219</v>
      </c>
      <c r="W20" s="2"/>
      <c r="X20" s="2">
        <f t="shared" si="10"/>
        <v>-26495</v>
      </c>
      <c r="Y20" s="2"/>
      <c r="Z20" s="19">
        <f t="shared" si="11"/>
        <v>-1</v>
      </c>
    </row>
    <row r="21" spans="1:26" s="24" customFormat="1" hidden="1" outlineLevel="1" x14ac:dyDescent="0.3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52132.61</v>
      </c>
      <c r="E21" s="2"/>
      <c r="F21" s="19">
        <f t="shared" si="4"/>
        <v>0.88444438110739521</v>
      </c>
      <c r="G21" s="2"/>
      <c r="H21" s="2"/>
      <c r="I21" s="2"/>
      <c r="J21" s="19">
        <f t="shared" si="5"/>
        <v>0</v>
      </c>
      <c r="K21" s="2"/>
      <c r="L21" s="2">
        <f t="shared" si="6"/>
        <v>52132.61</v>
      </c>
      <c r="M21" s="2"/>
      <c r="N21" s="19">
        <f t="shared" si="7"/>
        <v>0</v>
      </c>
      <c r="O21" s="11"/>
      <c r="P21" s="2">
        <v>60356.99</v>
      </c>
      <c r="Q21" s="2"/>
      <c r="R21" s="19">
        <f t="shared" si="8"/>
        <v>0.76744934467289083</v>
      </c>
      <c r="S21" s="2"/>
      <c r="T21" s="2"/>
      <c r="U21" s="2"/>
      <c r="V21" s="19">
        <f t="shared" si="9"/>
        <v>0</v>
      </c>
      <c r="W21" s="2"/>
      <c r="X21" s="2">
        <f t="shared" si="10"/>
        <v>60356.99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-34749</v>
      </c>
      <c r="E22" s="2"/>
      <c r="F22" s="19">
        <f t="shared" si="4"/>
        <v>-0.58952655159795142</v>
      </c>
      <c r="G22" s="2"/>
      <c r="H22" s="2"/>
      <c r="I22" s="2"/>
      <c r="J22" s="19">
        <f t="shared" si="5"/>
        <v>0</v>
      </c>
      <c r="K22" s="2"/>
      <c r="L22" s="2">
        <f t="shared" si="6"/>
        <v>-34749</v>
      </c>
      <c r="M22" s="2"/>
      <c r="N22" s="19">
        <f t="shared" si="7"/>
        <v>0</v>
      </c>
      <c r="O22" s="11"/>
      <c r="P22" s="2">
        <v>-37914</v>
      </c>
      <c r="Q22" s="2"/>
      <c r="R22" s="19">
        <f t="shared" si="8"/>
        <v>-0.48208292782539325</v>
      </c>
      <c r="S22" s="2"/>
      <c r="T22" s="2"/>
      <c r="U22" s="2"/>
      <c r="V22" s="19">
        <f t="shared" si="9"/>
        <v>0</v>
      </c>
      <c r="W22" s="2"/>
      <c r="X22" s="2">
        <f t="shared" si="10"/>
        <v>-37914</v>
      </c>
      <c r="Y22" s="2"/>
      <c r="Z22" s="19">
        <f t="shared" si="11"/>
        <v>0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108</v>
      </c>
      <c r="C24" s="26"/>
      <c r="D24" s="21">
        <f>D12-D19</f>
        <v>41560.299999999996</v>
      </c>
      <c r="E24" s="13"/>
      <c r="F24" s="20">
        <f>IF(D$12=0,0,D24/D$12)</f>
        <v>0.70508217049055621</v>
      </c>
      <c r="G24" s="13"/>
      <c r="H24" s="21">
        <f>H12-H19</f>
        <v>34302</v>
      </c>
      <c r="I24" s="13"/>
      <c r="J24" s="20">
        <f>IF(H$12=0,0,H24/H$12)</f>
        <v>0.59605894210050736</v>
      </c>
      <c r="K24" s="16"/>
      <c r="L24" s="21">
        <f>+D24-H24</f>
        <v>7258.2999999999956</v>
      </c>
      <c r="M24" s="16"/>
      <c r="N24" s="20">
        <f>IF(H24=0,0,L24/H24)</f>
        <v>0.21159990671097884</v>
      </c>
      <c r="O24" s="25"/>
      <c r="P24" s="21">
        <f>P12-P19</f>
        <v>56203.23</v>
      </c>
      <c r="Q24" s="13"/>
      <c r="R24" s="20">
        <f>IF(P$12=0,0,P24/P$12)</f>
        <v>0.71463358315250247</v>
      </c>
      <c r="S24" s="13"/>
      <c r="T24" s="21">
        <f>T12-T19</f>
        <v>39568</v>
      </c>
      <c r="U24" s="13"/>
      <c r="V24" s="20">
        <f>IF(T$12=0,0,T24/T$12)</f>
        <v>0.59894343278385787</v>
      </c>
      <c r="W24" s="16"/>
      <c r="X24" s="21">
        <f>+P24-T24</f>
        <v>16635.230000000003</v>
      </c>
      <c r="Y24" s="16"/>
      <c r="Z24" s="20">
        <f>IF(T24=0,0,X24/T24)</f>
        <v>0.42042130004043682</v>
      </c>
    </row>
    <row r="25" spans="1:26" x14ac:dyDescent="0.3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295</v>
      </c>
      <c r="C26" s="10"/>
      <c r="D26" s="22">
        <f>SUM(OSRRefD22x_0)</f>
        <v>229400.47999999998</v>
      </c>
      <c r="E26" s="22"/>
      <c r="F26" s="31">
        <f t="shared" ref="F26:F36" si="12">IF(D$12=0,0,D26/D$12)</f>
        <v>3.8918436187894558</v>
      </c>
      <c r="G26" s="22"/>
      <c r="H26" s="22">
        <f>SUM(OSRRefH22x_0)</f>
        <v>201959.35008351071</v>
      </c>
      <c r="I26" s="22"/>
      <c r="J26" s="31">
        <f t="shared" ref="J26:J36" si="13">IF(H$12=0,0,H26/H$12)</f>
        <v>3.5094069313183902</v>
      </c>
      <c r="K26" s="4"/>
      <c r="L26" s="22">
        <f t="shared" ref="L26:L36" si="14">+D26-H26</f>
        <v>27441.12991648927</v>
      </c>
      <c r="M26" s="4"/>
      <c r="N26" s="31">
        <f t="shared" ref="N26:N36" si="15">IF(H26=0,0,L26/H26)</f>
        <v>0.13587452081392762</v>
      </c>
      <c r="O26" s="10"/>
      <c r="P26" s="22">
        <f>SUM(OSRRefP22x_0)</f>
        <v>387181.50999999995</v>
      </c>
      <c r="Q26" s="22"/>
      <c r="R26" s="31">
        <f t="shared" ref="R26:R36" si="16">IF(P$12=0,0,P26/P$12)</f>
        <v>4.9230784391163356</v>
      </c>
      <c r="S26" s="22"/>
      <c r="T26" s="22">
        <f>SUM(OSRRefT22x_0)</f>
        <v>388476.82026496663</v>
      </c>
      <c r="U26" s="22"/>
      <c r="V26" s="31">
        <f t="shared" ref="V26:V36" si="17">IF(T$12=0,0,T26/T$12)</f>
        <v>5.8803993198154281</v>
      </c>
      <c r="W26" s="4"/>
      <c r="X26" s="22">
        <f t="shared" ref="X26:X36" si="18">+P26-T26</f>
        <v>-1295.3102649666835</v>
      </c>
      <c r="Y26" s="4"/>
      <c r="Z26" s="31">
        <f t="shared" ref="Z26:Z36" si="19">IF(T26=0,0,X26/T26)</f>
        <v>-3.3343308980010623E-3</v>
      </c>
    </row>
    <row r="27" spans="1:26" s="28" customFormat="1" outlineLevel="1" collapsed="1" x14ac:dyDescent="0.3">
      <c r="A27" s="29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28199.300000000003</v>
      </c>
      <c r="E27" s="1"/>
      <c r="F27" s="5">
        <f t="shared" si="12"/>
        <v>0.47840905023097391</v>
      </c>
      <c r="G27" s="1"/>
      <c r="H27" s="1">
        <f>SUM(OSRRefH22_0x_0)</f>
        <v>31858.551152741507</v>
      </c>
      <c r="I27" s="1"/>
      <c r="J27" s="5">
        <f t="shared" si="13"/>
        <v>0.55359962383995109</v>
      </c>
      <c r="K27" s="1"/>
      <c r="L27" s="1">
        <f t="shared" si="14"/>
        <v>-3659.2511527415045</v>
      </c>
      <c r="M27" s="1"/>
      <c r="N27" s="5">
        <f t="shared" si="15"/>
        <v>-0.11485930842233599</v>
      </c>
      <c r="O27" s="14"/>
      <c r="P27" s="1">
        <f>SUM(OSRRefP22_0x_0)</f>
        <v>53534.36</v>
      </c>
      <c r="Q27" s="1"/>
      <c r="R27" s="5">
        <f t="shared" si="16"/>
        <v>0.6806984493342465</v>
      </c>
      <c r="S27" s="1"/>
      <c r="T27" s="1">
        <f>SUM(OSRRefT22_0x_0)</f>
        <v>63597.701420735808</v>
      </c>
      <c r="U27" s="1"/>
      <c r="V27" s="5">
        <f t="shared" si="17"/>
        <v>0.96268261236601138</v>
      </c>
      <c r="W27" s="1"/>
      <c r="X27" s="1">
        <f t="shared" si="18"/>
        <v>-10063.341420735807</v>
      </c>
      <c r="Y27" s="1"/>
      <c r="Z27" s="5">
        <f t="shared" si="19"/>
        <v>-0.15823435746774789</v>
      </c>
    </row>
    <row r="28" spans="1:26" s="24" customFormat="1" hidden="1" outlineLevel="2" x14ac:dyDescent="0.3">
      <c r="A28" s="27"/>
      <c r="B28" s="11" t="str">
        <f>CONCATENATE("          ", "6111", " - ", "F.I.C.A.")</f>
        <v xml:space="preserve">          6111 - F.I.C.A.</v>
      </c>
      <c r="C28" s="11"/>
      <c r="D28" s="6">
        <v>4424.72</v>
      </c>
      <c r="E28" s="2"/>
      <c r="F28" s="7">
        <f t="shared" si="12"/>
        <v>7.5066618417407333E-2</v>
      </c>
      <c r="G28" s="2"/>
      <c r="H28" s="6">
        <v>4425.1458465876904</v>
      </c>
      <c r="I28" s="2"/>
      <c r="J28" s="7">
        <f t="shared" si="13"/>
        <v>7.6894867703268407E-2</v>
      </c>
      <c r="K28" s="2"/>
      <c r="L28" s="6">
        <f t="shared" si="14"/>
        <v>-0.42584658769010275</v>
      </c>
      <c r="M28" s="2"/>
      <c r="N28" s="7">
        <f t="shared" si="15"/>
        <v>-9.6233345171771169E-5</v>
      </c>
      <c r="O28" s="11"/>
      <c r="P28" s="6">
        <v>7623.28</v>
      </c>
      <c r="Q28" s="2"/>
      <c r="R28" s="7">
        <f t="shared" si="16"/>
        <v>9.6931295617259161E-2</v>
      </c>
      <c r="S28" s="2"/>
      <c r="T28" s="6">
        <v>8644.2177991973094</v>
      </c>
      <c r="U28" s="2"/>
      <c r="V28" s="7">
        <f t="shared" si="17"/>
        <v>0.13084809650178328</v>
      </c>
      <c r="W28" s="2"/>
      <c r="X28" s="6">
        <f t="shared" si="18"/>
        <v>-1020.9377991973097</v>
      </c>
      <c r="Y28" s="2"/>
      <c r="Z28" s="7">
        <f t="shared" si="19"/>
        <v>-0.11810644096590354</v>
      </c>
    </row>
    <row r="29" spans="1:26" s="24" customFormat="1" hidden="1" outlineLevel="2" x14ac:dyDescent="0.3">
      <c r="A29" s="27"/>
      <c r="B29" s="11" t="str">
        <f>CONCATENATE("          ", "6112", " - ", "COMPENSATION INSURANCE")</f>
        <v xml:space="preserve">          6112 - COMPENSATION INSURANCE</v>
      </c>
      <c r="C29" s="11"/>
      <c r="D29" s="6">
        <v>1624.76</v>
      </c>
      <c r="E29" s="2"/>
      <c r="F29" s="7">
        <f t="shared" si="12"/>
        <v>2.756451005710344E-2</v>
      </c>
      <c r="G29" s="2"/>
      <c r="H29" s="6">
        <v>2938.5146588615398</v>
      </c>
      <c r="I29" s="2"/>
      <c r="J29" s="7">
        <f t="shared" si="13"/>
        <v>5.106197711235038E-2</v>
      </c>
      <c r="K29" s="2"/>
      <c r="L29" s="6">
        <f t="shared" si="14"/>
        <v>-1313.7546588615398</v>
      </c>
      <c r="M29" s="2"/>
      <c r="N29" s="7">
        <f t="shared" si="15"/>
        <v>-0.44708119964612458</v>
      </c>
      <c r="O29" s="11"/>
      <c r="P29" s="6">
        <v>2731.38</v>
      </c>
      <c r="Q29" s="2"/>
      <c r="R29" s="7">
        <f t="shared" si="16"/>
        <v>3.472995904952584E-2</v>
      </c>
      <c r="S29" s="2"/>
      <c r="T29" s="6">
        <v>5045.4381136884604</v>
      </c>
      <c r="U29" s="2"/>
      <c r="V29" s="7">
        <f t="shared" si="17"/>
        <v>7.6373130401108949E-2</v>
      </c>
      <c r="W29" s="2"/>
      <c r="X29" s="6">
        <f t="shared" si="18"/>
        <v>-2314.0581136884603</v>
      </c>
      <c r="Y29" s="2"/>
      <c r="Z29" s="7">
        <f t="shared" si="19"/>
        <v>-0.45864364234501953</v>
      </c>
    </row>
    <row r="30" spans="1:26" s="24" customFormat="1" hidden="1" outlineLevel="2" x14ac:dyDescent="0.3">
      <c r="A30" s="27"/>
      <c r="B30" s="11" t="str">
        <f>CONCATENATE("          ", "6113", " - ", "GROUP INSURANCE")</f>
        <v xml:space="preserve">          6113 - GROUP INSURANCE</v>
      </c>
      <c r="C30" s="11"/>
      <c r="D30" s="6">
        <v>12571.09</v>
      </c>
      <c r="E30" s="2"/>
      <c r="F30" s="7">
        <f t="shared" si="12"/>
        <v>0.21327207509647733</v>
      </c>
      <c r="G30" s="2"/>
      <c r="H30" s="6">
        <v>15445.461538461501</v>
      </c>
      <c r="I30" s="2"/>
      <c r="J30" s="7">
        <f t="shared" si="13"/>
        <v>0.26839267287241086</v>
      </c>
      <c r="K30" s="2"/>
      <c r="L30" s="6">
        <f t="shared" si="14"/>
        <v>-2874.3715384615007</v>
      </c>
      <c r="M30" s="2"/>
      <c r="N30" s="7">
        <f t="shared" si="15"/>
        <v>-0.18609813188837945</v>
      </c>
      <c r="O30" s="11"/>
      <c r="P30" s="6">
        <v>24503.68</v>
      </c>
      <c r="Q30" s="2"/>
      <c r="R30" s="7">
        <f t="shared" si="16"/>
        <v>0.31156843901715808</v>
      </c>
      <c r="S30" s="2"/>
      <c r="T30" s="6">
        <v>31593.430769230799</v>
      </c>
      <c r="U30" s="2"/>
      <c r="V30" s="7">
        <f t="shared" si="17"/>
        <v>0.47823185094880338</v>
      </c>
      <c r="W30" s="2"/>
      <c r="X30" s="6">
        <f t="shared" si="18"/>
        <v>-7089.7507692307991</v>
      </c>
      <c r="Y30" s="2"/>
      <c r="Z30" s="7">
        <f t="shared" si="19"/>
        <v>-0.22440585262856569</v>
      </c>
    </row>
    <row r="31" spans="1:26" s="24" customFormat="1" hidden="1" outlineLevel="2" x14ac:dyDescent="0.3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6">
        <v>149.68</v>
      </c>
      <c r="E31" s="2"/>
      <c r="F31" s="7">
        <f t="shared" si="12"/>
        <v>2.5393632692503774E-3</v>
      </c>
      <c r="G31" s="2"/>
      <c r="H31" s="6">
        <v>162.820073446154</v>
      </c>
      <c r="I31" s="2"/>
      <c r="J31" s="7">
        <f t="shared" si="13"/>
        <v>2.8292916078083339E-3</v>
      </c>
      <c r="K31" s="2"/>
      <c r="L31" s="6">
        <f t="shared" si="14"/>
        <v>-13.140073446153991</v>
      </c>
      <c r="M31" s="2"/>
      <c r="N31" s="7">
        <f t="shared" si="15"/>
        <v>-8.0703031070057385E-2</v>
      </c>
      <c r="O31" s="11"/>
      <c r="P31" s="6">
        <v>258.38</v>
      </c>
      <c r="Q31" s="2"/>
      <c r="R31" s="7">
        <f t="shared" si="16"/>
        <v>3.2853454368181965E-3</v>
      </c>
      <c r="S31" s="2"/>
      <c r="T31" s="6">
        <v>279.562534003846</v>
      </c>
      <c r="U31" s="2"/>
      <c r="V31" s="7">
        <f t="shared" si="17"/>
        <v>4.2317565657606524E-3</v>
      </c>
      <c r="W31" s="2"/>
      <c r="X31" s="6">
        <f t="shared" si="18"/>
        <v>-21.182534003846001</v>
      </c>
      <c r="Y31" s="2"/>
      <c r="Z31" s="7">
        <f t="shared" si="19"/>
        <v>-7.5770289031485846E-2</v>
      </c>
    </row>
    <row r="32" spans="1:26" s="24" customFormat="1" hidden="1" outlineLevel="2" x14ac:dyDescent="0.3">
      <c r="A32" s="27"/>
      <c r="B32" s="11" t="str">
        <f>CONCATENATE("          ", "6115", " - ", "P.E.R.S.")</f>
        <v xml:space="preserve">          6115 - P.E.R.S.</v>
      </c>
      <c r="C32" s="11"/>
      <c r="D32" s="6">
        <v>3152.51</v>
      </c>
      <c r="E32" s="2"/>
      <c r="F32" s="7">
        <f t="shared" si="12"/>
        <v>5.3483218198453419E-2</v>
      </c>
      <c r="G32" s="2"/>
      <c r="H32" s="6">
        <v>2746.7421584615399</v>
      </c>
      <c r="I32" s="2"/>
      <c r="J32" s="7">
        <f t="shared" si="13"/>
        <v>4.7729585015318342E-2</v>
      </c>
      <c r="K32" s="2"/>
      <c r="L32" s="6">
        <f t="shared" si="14"/>
        <v>405.76784153846029</v>
      </c>
      <c r="M32" s="2"/>
      <c r="N32" s="7">
        <f t="shared" si="15"/>
        <v>0.14772695001183958</v>
      </c>
      <c r="O32" s="11"/>
      <c r="P32" s="6">
        <v>6141.54</v>
      </c>
      <c r="Q32" s="2"/>
      <c r="R32" s="7">
        <f t="shared" si="16"/>
        <v>7.8090720698337446E-2</v>
      </c>
      <c r="S32" s="2"/>
      <c r="T32" s="6">
        <v>6180.1698565384704</v>
      </c>
      <c r="U32" s="2"/>
      <c r="V32" s="7">
        <f t="shared" si="17"/>
        <v>9.3549639836799273E-2</v>
      </c>
      <c r="W32" s="2"/>
      <c r="X32" s="6">
        <f t="shared" si="18"/>
        <v>-38.629856538470449</v>
      </c>
      <c r="Y32" s="2"/>
      <c r="Z32" s="7">
        <f t="shared" si="19"/>
        <v>-6.2506140502919987E-3</v>
      </c>
    </row>
    <row r="33" spans="1:26" s="24" customFormat="1" hidden="1" outlineLevel="2" x14ac:dyDescent="0.3">
      <c r="A33" s="27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6">
        <v>2973.5</v>
      </c>
      <c r="E34" s="2"/>
      <c r="F34" s="7">
        <f t="shared" si="12"/>
        <v>5.0446263235676088E-2</v>
      </c>
      <c r="G34" s="2"/>
      <c r="H34" s="6">
        <v>2525.4443184615402</v>
      </c>
      <c r="I34" s="2"/>
      <c r="J34" s="7">
        <f t="shared" si="13"/>
        <v>4.3884137041453053E-2</v>
      </c>
      <c r="K34" s="2"/>
      <c r="L34" s="6">
        <f t="shared" si="14"/>
        <v>448.05568153845979</v>
      </c>
      <c r="M34" s="2"/>
      <c r="N34" s="7">
        <f t="shared" si="15"/>
        <v>0.17741657508070027</v>
      </c>
      <c r="O34" s="11"/>
      <c r="P34" s="6">
        <v>5928.44</v>
      </c>
      <c r="Q34" s="2"/>
      <c r="R34" s="7">
        <f t="shared" si="16"/>
        <v>7.5381118126211274E-2</v>
      </c>
      <c r="S34" s="2"/>
      <c r="T34" s="6">
        <v>5630.4097165384601</v>
      </c>
      <c r="U34" s="2"/>
      <c r="V34" s="7">
        <f t="shared" si="17"/>
        <v>8.522788423986892E-2</v>
      </c>
      <c r="W34" s="2"/>
      <c r="X34" s="6">
        <f t="shared" si="18"/>
        <v>298.03028346153951</v>
      </c>
      <c r="Y34" s="2"/>
      <c r="Z34" s="7">
        <f t="shared" si="19"/>
        <v>5.2932255105009769E-2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6">
        <v>1911.66</v>
      </c>
      <c r="E35" s="2"/>
      <c r="F35" s="7">
        <f t="shared" si="12"/>
        <v>3.2431849193580817E-2</v>
      </c>
      <c r="G35" s="2"/>
      <c r="H35" s="6">
        <v>1653.4225584615399</v>
      </c>
      <c r="I35" s="2"/>
      <c r="J35" s="7">
        <f t="shared" si="13"/>
        <v>2.8731190631499617E-2</v>
      </c>
      <c r="K35" s="2"/>
      <c r="L35" s="6">
        <f t="shared" si="14"/>
        <v>258.23744153846019</v>
      </c>
      <c r="M35" s="2"/>
      <c r="N35" s="7">
        <f t="shared" si="15"/>
        <v>0.15618357220113313</v>
      </c>
      <c r="O35" s="11"/>
      <c r="P35" s="6">
        <v>3810.44</v>
      </c>
      <c r="Q35" s="2"/>
      <c r="R35" s="7">
        <f t="shared" si="16"/>
        <v>4.8450389605501701E-2</v>
      </c>
      <c r="S35" s="2"/>
      <c r="T35" s="6">
        <v>2638.4726315384601</v>
      </c>
      <c r="U35" s="2"/>
      <c r="V35" s="7">
        <f t="shared" si="17"/>
        <v>3.9938734715929645E-2</v>
      </c>
      <c r="W35" s="2"/>
      <c r="X35" s="6">
        <f t="shared" si="18"/>
        <v>1171.96736846154</v>
      </c>
      <c r="Y35" s="2"/>
      <c r="Z35" s="7">
        <f t="shared" si="19"/>
        <v>0.44418401557501874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6">
        <v>1391.38</v>
      </c>
      <c r="E36" s="2"/>
      <c r="F36" s="7">
        <f t="shared" si="12"/>
        <v>2.3605152763025057E-2</v>
      </c>
      <c r="G36" s="2"/>
      <c r="H36" s="6">
        <v>1961</v>
      </c>
      <c r="I36" s="2"/>
      <c r="J36" s="7">
        <f t="shared" si="13"/>
        <v>3.4075901855842076E-2</v>
      </c>
      <c r="K36" s="2"/>
      <c r="L36" s="6">
        <f t="shared" si="14"/>
        <v>-569.61999999999989</v>
      </c>
      <c r="M36" s="2"/>
      <c r="N36" s="7">
        <f t="shared" si="15"/>
        <v>-0.29047424783273834</v>
      </c>
      <c r="O36" s="11"/>
      <c r="P36" s="6">
        <v>2537.2199999999998</v>
      </c>
      <c r="Q36" s="2"/>
      <c r="R36" s="7">
        <f t="shared" si="16"/>
        <v>3.2261181783434727E-2</v>
      </c>
      <c r="S36" s="2"/>
      <c r="T36" s="6">
        <v>3586</v>
      </c>
      <c r="U36" s="2"/>
      <c r="V36" s="7">
        <f t="shared" si="17"/>
        <v>5.4281519155957192E-2</v>
      </c>
      <c r="W36" s="2"/>
      <c r="X36" s="6">
        <f t="shared" si="18"/>
        <v>-1048.7800000000002</v>
      </c>
      <c r="Y36" s="2"/>
      <c r="Z36" s="7">
        <f t="shared" si="19"/>
        <v>-0.29246514221974351</v>
      </c>
    </row>
    <row r="37" spans="1:26" s="28" customFormat="1" outlineLevel="1" collapsed="1" x14ac:dyDescent="0.3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62536.37</v>
      </c>
      <c r="E37" s="1"/>
      <c r="F37" s="5">
        <f t="shared" ref="F37:F47" si="20">IF(D$12=0,0,D37/D$12)</f>
        <v>1.0609470936013576</v>
      </c>
      <c r="G37" s="1"/>
      <c r="H37" s="1">
        <f>SUM(OSRRefH22_1x_0)</f>
        <v>73426.548930769204</v>
      </c>
      <c r="I37" s="1"/>
      <c r="J37" s="5">
        <f t="shared" ref="J37:J47" si="21">IF(H$12=0,0,H37/H$12)</f>
        <v>1.2759183452208454</v>
      </c>
      <c r="K37" s="1"/>
      <c r="L37" s="1">
        <f t="shared" ref="L37:L47" si="22">+D37-H37</f>
        <v>-10890.178930769202</v>
      </c>
      <c r="M37" s="1"/>
      <c r="N37" s="5">
        <f t="shared" ref="N37:N47" si="23">IF(H37=0,0,L37/H37)</f>
        <v>-0.14831391491702942</v>
      </c>
      <c r="O37" s="14"/>
      <c r="P37" s="1">
        <f>SUM(OSRRefP22_1x_0)</f>
        <v>115139.32</v>
      </c>
      <c r="Q37" s="1"/>
      <c r="R37" s="5">
        <f t="shared" ref="R37:R47" si="24">IF(P$12=0,0,P37/P$12)</f>
        <v>1.4640159438050551</v>
      </c>
      <c r="S37" s="1"/>
      <c r="T37" s="1">
        <f>SUM(OSRRefT22_1x_0)</f>
        <v>124947.86884423079</v>
      </c>
      <c r="U37" s="1"/>
      <c r="V37" s="5">
        <f t="shared" ref="V37:V47" si="25">IF(T$12=0,0,T37/T$12)</f>
        <v>1.8913441539777303</v>
      </c>
      <c r="W37" s="1"/>
      <c r="X37" s="1">
        <f t="shared" ref="X37:X47" si="26">+P37-T37</f>
        <v>-9808.5488442307833</v>
      </c>
      <c r="Y37" s="1"/>
      <c r="Z37" s="5">
        <f t="shared" ref="Z37:Z47" si="27">IF(T37=0,0,X37/T37)</f>
        <v>-7.8501129590764301E-2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>
        <v>8855.42</v>
      </c>
      <c r="E38" s="2"/>
      <c r="F38" s="7">
        <f t="shared" si="20"/>
        <v>0.15023468921556105</v>
      </c>
      <c r="G38" s="2"/>
      <c r="H38" s="6">
        <v>10268.307692307701</v>
      </c>
      <c r="I38" s="2"/>
      <c r="J38" s="7">
        <f t="shared" si="21"/>
        <v>0.17843031369131335</v>
      </c>
      <c r="K38" s="2"/>
      <c r="L38" s="6">
        <f t="shared" si="22"/>
        <v>-1412.8876923077005</v>
      </c>
      <c r="M38" s="2"/>
      <c r="N38" s="7">
        <f t="shared" si="23"/>
        <v>-0.13759693755243985</v>
      </c>
      <c r="O38" s="11"/>
      <c r="P38" s="6">
        <v>22691.7</v>
      </c>
      <c r="Q38" s="2"/>
      <c r="R38" s="7">
        <f t="shared" si="24"/>
        <v>0.28852880659744362</v>
      </c>
      <c r="S38" s="2"/>
      <c r="T38" s="6">
        <v>23103.692307692301</v>
      </c>
      <c r="U38" s="2"/>
      <c r="V38" s="7">
        <f t="shared" si="25"/>
        <v>0.34972211839747364</v>
      </c>
      <c r="W38" s="2"/>
      <c r="X38" s="6">
        <f t="shared" si="26"/>
        <v>-411.99230769230053</v>
      </c>
      <c r="Y38" s="2"/>
      <c r="Z38" s="7">
        <f t="shared" si="27"/>
        <v>-1.7832314515162106E-2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6">
        <v>20808.45</v>
      </c>
      <c r="E39" s="2"/>
      <c r="F39" s="7">
        <f t="shared" si="20"/>
        <v>0.35302120269931198</v>
      </c>
      <c r="G39" s="2"/>
      <c r="H39" s="6">
        <v>18954.873038461501</v>
      </c>
      <c r="I39" s="2"/>
      <c r="J39" s="7">
        <f t="shared" si="21"/>
        <v>0.32937500935673703</v>
      </c>
      <c r="K39" s="2"/>
      <c r="L39" s="6">
        <f t="shared" si="22"/>
        <v>1853.5769615384997</v>
      </c>
      <c r="M39" s="2"/>
      <c r="N39" s="7">
        <f t="shared" si="23"/>
        <v>9.7788941016771269E-2</v>
      </c>
      <c r="O39" s="11"/>
      <c r="P39" s="6">
        <v>44532.47</v>
      </c>
      <c r="Q39" s="2"/>
      <c r="R39" s="7">
        <f t="shared" si="24"/>
        <v>0.5662378942052142</v>
      </c>
      <c r="S39" s="2"/>
      <c r="T39" s="6">
        <v>42648.464336538498</v>
      </c>
      <c r="U39" s="2"/>
      <c r="V39" s="7">
        <f t="shared" si="25"/>
        <v>0.64557262516898262</v>
      </c>
      <c r="W39" s="2"/>
      <c r="X39" s="6">
        <f t="shared" si="26"/>
        <v>1884.005663461503</v>
      </c>
      <c r="Y39" s="2"/>
      <c r="Z39" s="7">
        <f t="shared" si="27"/>
        <v>4.4175228645862555E-2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6">
        <v>8001.1</v>
      </c>
      <c r="E41" s="2"/>
      <c r="F41" s="7">
        <f t="shared" si="20"/>
        <v>0.1357409102992998</v>
      </c>
      <c r="G41" s="2"/>
      <c r="H41" s="6">
        <v>18615.868200000001</v>
      </c>
      <c r="I41" s="2"/>
      <c r="J41" s="7">
        <f t="shared" si="21"/>
        <v>0.32348419058872596</v>
      </c>
      <c r="K41" s="2"/>
      <c r="L41" s="6">
        <f t="shared" si="22"/>
        <v>-10614.7682</v>
      </c>
      <c r="M41" s="2"/>
      <c r="N41" s="7">
        <f t="shared" si="23"/>
        <v>-0.57020000818441552</v>
      </c>
      <c r="O41" s="11"/>
      <c r="P41" s="6">
        <v>15727.36</v>
      </c>
      <c r="Q41" s="2"/>
      <c r="R41" s="7">
        <f t="shared" si="24"/>
        <v>0.19997604462108923</v>
      </c>
      <c r="S41" s="2"/>
      <c r="T41" s="6">
        <v>33160.072200000002</v>
      </c>
      <c r="U41" s="2"/>
      <c r="V41" s="7">
        <f t="shared" si="25"/>
        <v>0.50194620589437355</v>
      </c>
      <c r="W41" s="2"/>
      <c r="X41" s="6">
        <f t="shared" si="26"/>
        <v>-17432.712200000002</v>
      </c>
      <c r="Y41" s="2"/>
      <c r="Z41" s="7">
        <f t="shared" si="27"/>
        <v>-0.52571393979051717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10218.36</v>
      </c>
      <c r="E42" s="2"/>
      <c r="F42" s="7">
        <f t="shared" si="20"/>
        <v>0.1733573493852037</v>
      </c>
      <c r="G42" s="2"/>
      <c r="H42" s="6">
        <v>11127.84</v>
      </c>
      <c r="I42" s="2"/>
      <c r="J42" s="7">
        <f t="shared" si="21"/>
        <v>0.19336623340515743</v>
      </c>
      <c r="K42" s="2"/>
      <c r="L42" s="6">
        <f t="shared" si="22"/>
        <v>-909.47999999999956</v>
      </c>
      <c r="M42" s="2"/>
      <c r="N42" s="7">
        <f t="shared" si="23"/>
        <v>-8.1730147090540439E-2</v>
      </c>
      <c r="O42" s="11"/>
      <c r="P42" s="6">
        <v>13571.75</v>
      </c>
      <c r="Q42" s="2"/>
      <c r="R42" s="7">
        <f t="shared" si="24"/>
        <v>0.17256709858401331</v>
      </c>
      <c r="S42" s="2"/>
      <c r="T42" s="6">
        <v>11575.98</v>
      </c>
      <c r="U42" s="2"/>
      <c r="V42" s="7">
        <f t="shared" si="25"/>
        <v>0.17522637482403161</v>
      </c>
      <c r="W42" s="2"/>
      <c r="X42" s="6">
        <f t="shared" si="26"/>
        <v>1995.7700000000004</v>
      </c>
      <c r="Y42" s="2"/>
      <c r="Z42" s="7">
        <f t="shared" si="27"/>
        <v>0.17240613753651962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6">
        <v>14653.04</v>
      </c>
      <c r="E44" s="2"/>
      <c r="F44" s="7">
        <f t="shared" si="20"/>
        <v>0.24859294200198123</v>
      </c>
      <c r="G44" s="2"/>
      <c r="H44" s="6">
        <v>6368.71</v>
      </c>
      <c r="I44" s="2"/>
      <c r="J44" s="7">
        <f t="shared" si="21"/>
        <v>0.11066779036630291</v>
      </c>
      <c r="K44" s="2"/>
      <c r="L44" s="6">
        <f t="shared" si="22"/>
        <v>8284.3300000000017</v>
      </c>
      <c r="M44" s="2"/>
      <c r="N44" s="7">
        <f t="shared" si="23"/>
        <v>1.3007861874696762</v>
      </c>
      <c r="O44" s="11"/>
      <c r="P44" s="6">
        <v>18616.04</v>
      </c>
      <c r="Q44" s="2"/>
      <c r="R44" s="7">
        <f t="shared" si="24"/>
        <v>0.23670609979729479</v>
      </c>
      <c r="S44" s="2"/>
      <c r="T44" s="6">
        <v>6368.71</v>
      </c>
      <c r="U44" s="2"/>
      <c r="V44" s="7">
        <f t="shared" si="25"/>
        <v>9.6403584457260494E-2</v>
      </c>
      <c r="W44" s="2"/>
      <c r="X44" s="6">
        <f t="shared" si="26"/>
        <v>12247.330000000002</v>
      </c>
      <c r="Y44" s="2"/>
      <c r="Z44" s="7">
        <f t="shared" si="27"/>
        <v>1.9230472105025982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0"/>
        <v>0</v>
      </c>
      <c r="G45" s="2"/>
      <c r="H45" s="6">
        <v>8090.95</v>
      </c>
      <c r="I45" s="2"/>
      <c r="J45" s="7">
        <f t="shared" si="21"/>
        <v>0.14059480781260861</v>
      </c>
      <c r="K45" s="2"/>
      <c r="L45" s="6">
        <f t="shared" si="22"/>
        <v>-8090.95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8090.95</v>
      </c>
      <c r="U45" s="2"/>
      <c r="V45" s="7">
        <f t="shared" si="25"/>
        <v>0.12247324523560843</v>
      </c>
      <c r="W45" s="2"/>
      <c r="X45" s="6">
        <f t="shared" si="26"/>
        <v>-8090.95</v>
      </c>
      <c r="Y45" s="2"/>
      <c r="Z45" s="7">
        <f t="shared" si="27"/>
        <v>-1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3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135.47</v>
      </c>
      <c r="E48" s="1"/>
      <c r="F48" s="5">
        <f t="shared" ref="F48:F56" si="28">IF(D$12=0,0,D48/D$12)</f>
        <v>2.2982866253697795E-3</v>
      </c>
      <c r="G48" s="1"/>
      <c r="H48" s="1">
        <f>SUM(OSRRefH22_2x_0)</f>
        <v>0</v>
      </c>
      <c r="I48" s="1"/>
      <c r="J48" s="5">
        <f t="shared" ref="J48:J56" si="29">IF(H$12=0,0,H48/H$12)</f>
        <v>0</v>
      </c>
      <c r="K48" s="1"/>
      <c r="L48" s="1">
        <f t="shared" ref="L48:L56" si="30">+D48-H48</f>
        <v>135.47</v>
      </c>
      <c r="M48" s="1"/>
      <c r="N48" s="5">
        <f t="shared" ref="N48:N56" si="31">IF(H48=0,0,L48/H48)</f>
        <v>0</v>
      </c>
      <c r="O48" s="14"/>
      <c r="P48" s="1">
        <f>SUM(OSRRefP22_2x_0)</f>
        <v>560.26</v>
      </c>
      <c r="Q48" s="1"/>
      <c r="R48" s="5">
        <f t="shared" ref="R48:R56" si="32">IF(P$12=0,0,P48/P$12)</f>
        <v>7.1238007370220714E-3</v>
      </c>
      <c r="S48" s="1"/>
      <c r="T48" s="1">
        <f>SUM(OSRRefT22_2x_0)</f>
        <v>0</v>
      </c>
      <c r="U48" s="1"/>
      <c r="V48" s="5">
        <f t="shared" ref="V48:V56" si="33">IF(T$12=0,0,T48/T$12)</f>
        <v>0</v>
      </c>
      <c r="W48" s="1"/>
      <c r="X48" s="1">
        <f t="shared" ref="X48:X56" si="34">+P48-T48</f>
        <v>560.26</v>
      </c>
      <c r="Y48" s="1"/>
      <c r="Z48" s="5">
        <f t="shared" ref="Z48:Z56" si="35">IF(T48=0,0,X48/T48)</f>
        <v>0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135.47</v>
      </c>
      <c r="E49" s="2"/>
      <c r="F49" s="7">
        <f t="shared" si="28"/>
        <v>2.2982866253697795E-3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135.47</v>
      </c>
      <c r="M49" s="2"/>
      <c r="N49" s="7">
        <f t="shared" si="31"/>
        <v>0</v>
      </c>
      <c r="O49" s="11"/>
      <c r="P49" s="6">
        <v>560.26</v>
      </c>
      <c r="Q49" s="2"/>
      <c r="R49" s="7">
        <f t="shared" si="32"/>
        <v>7.1238007370220714E-3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560.26</v>
      </c>
      <c r="Y49" s="2"/>
      <c r="Z49" s="7">
        <f t="shared" si="35"/>
        <v>0</v>
      </c>
    </row>
    <row r="50" spans="1:26" s="28" customFormat="1" outlineLevel="1" collapsed="1" x14ac:dyDescent="0.3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-89.52</v>
      </c>
      <c r="E50" s="1"/>
      <c r="F50" s="5">
        <f t="shared" si="28"/>
        <v>-1.5187319606045815E-3</v>
      </c>
      <c r="G50" s="1"/>
      <c r="H50" s="1">
        <f>SUM(OSRRefH22_3x_0)</f>
        <v>10</v>
      </c>
      <c r="I50" s="1"/>
      <c r="J50" s="5">
        <f t="shared" si="29"/>
        <v>1.737679849864461E-4</v>
      </c>
      <c r="K50" s="1"/>
      <c r="L50" s="1">
        <f t="shared" si="30"/>
        <v>-99.52</v>
      </c>
      <c r="M50" s="1"/>
      <c r="N50" s="5">
        <f t="shared" si="31"/>
        <v>-9.952</v>
      </c>
      <c r="O50" s="14"/>
      <c r="P50" s="1">
        <f>SUM(OSRRefP22_3x_0)</f>
        <v>-108.54</v>
      </c>
      <c r="Q50" s="1"/>
      <c r="R50" s="5">
        <f t="shared" si="32"/>
        <v>-1.3801044729168167E-3</v>
      </c>
      <c r="S50" s="1"/>
      <c r="T50" s="1">
        <f>SUM(OSRRefT22_3x_0)</f>
        <v>20</v>
      </c>
      <c r="U50" s="1"/>
      <c r="V50" s="5">
        <f t="shared" si="33"/>
        <v>3.0274132267683879E-4</v>
      </c>
      <c r="W50" s="1"/>
      <c r="X50" s="1">
        <f t="shared" si="34"/>
        <v>-128.54000000000002</v>
      </c>
      <c r="Y50" s="1"/>
      <c r="Z50" s="5">
        <f t="shared" si="35"/>
        <v>-6.4270000000000014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6">
        <v>-89.52</v>
      </c>
      <c r="E51" s="2"/>
      <c r="F51" s="7">
        <f t="shared" si="28"/>
        <v>-1.5187319606045815E-3</v>
      </c>
      <c r="G51" s="2"/>
      <c r="H51" s="6">
        <v>10</v>
      </c>
      <c r="I51" s="2"/>
      <c r="J51" s="7">
        <f t="shared" si="29"/>
        <v>1.737679849864461E-4</v>
      </c>
      <c r="K51" s="2"/>
      <c r="L51" s="6">
        <f t="shared" si="30"/>
        <v>-99.52</v>
      </c>
      <c r="M51" s="2"/>
      <c r="N51" s="7">
        <f t="shared" si="31"/>
        <v>-9.952</v>
      </c>
      <c r="O51" s="11"/>
      <c r="P51" s="6">
        <v>-108.54</v>
      </c>
      <c r="Q51" s="2"/>
      <c r="R51" s="7">
        <f t="shared" si="32"/>
        <v>-1.3801044729168167E-3</v>
      </c>
      <c r="S51" s="2"/>
      <c r="T51" s="6">
        <v>20</v>
      </c>
      <c r="U51" s="2"/>
      <c r="V51" s="7">
        <f t="shared" si="33"/>
        <v>3.0274132267683879E-4</v>
      </c>
      <c r="W51" s="2"/>
      <c r="X51" s="6">
        <f t="shared" si="34"/>
        <v>-128.54000000000002</v>
      </c>
      <c r="Y51" s="2"/>
      <c r="Z51" s="7">
        <f t="shared" si="35"/>
        <v>-6.4270000000000014</v>
      </c>
    </row>
    <row r="52" spans="1:26" s="28" customFormat="1" outlineLevel="1" collapsed="1" x14ac:dyDescent="0.3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2761.03</v>
      </c>
      <c r="E52" s="1"/>
      <c r="F52" s="5">
        <f t="shared" si="28"/>
        <v>4.6841649968588792E-2</v>
      </c>
      <c r="G52" s="1"/>
      <c r="H52" s="1">
        <f>SUM(OSRRefH22_4x_0)</f>
        <v>3221.25</v>
      </c>
      <c r="I52" s="1"/>
      <c r="J52" s="5">
        <f t="shared" si="29"/>
        <v>5.5975012163758948E-2</v>
      </c>
      <c r="K52" s="1"/>
      <c r="L52" s="1">
        <f t="shared" si="30"/>
        <v>-460.2199999999998</v>
      </c>
      <c r="M52" s="1"/>
      <c r="N52" s="5">
        <f t="shared" si="31"/>
        <v>-0.14287000388048113</v>
      </c>
      <c r="O52" s="14"/>
      <c r="P52" s="1">
        <f>SUM(OSRRefP22_4x_0)</f>
        <v>3769.74</v>
      </c>
      <c r="Q52" s="1"/>
      <c r="R52" s="5">
        <f t="shared" si="32"/>
        <v>4.7932882216081073E-2</v>
      </c>
      <c r="S52" s="1"/>
      <c r="T52" s="1">
        <f>SUM(OSRRefT22_4x_0)</f>
        <v>4461.25</v>
      </c>
      <c r="U52" s="1"/>
      <c r="V52" s="5">
        <f t="shared" si="33"/>
        <v>6.7530236289602349E-2</v>
      </c>
      <c r="W52" s="1"/>
      <c r="X52" s="1">
        <f t="shared" si="34"/>
        <v>-691.51000000000022</v>
      </c>
      <c r="Y52" s="1"/>
      <c r="Z52" s="5">
        <f t="shared" si="35"/>
        <v>-0.15500364247688433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2761.03</v>
      </c>
      <c r="E53" s="2"/>
      <c r="F53" s="7">
        <f t="shared" si="28"/>
        <v>4.6841649968588792E-2</v>
      </c>
      <c r="G53" s="2"/>
      <c r="H53" s="6">
        <v>3221.25</v>
      </c>
      <c r="I53" s="2"/>
      <c r="J53" s="7">
        <f t="shared" si="29"/>
        <v>5.5975012163758948E-2</v>
      </c>
      <c r="K53" s="2"/>
      <c r="L53" s="6">
        <f t="shared" si="30"/>
        <v>-460.2199999999998</v>
      </c>
      <c r="M53" s="2"/>
      <c r="N53" s="7">
        <f t="shared" si="31"/>
        <v>-0.14287000388048113</v>
      </c>
      <c r="O53" s="11"/>
      <c r="P53" s="6">
        <v>3769.74</v>
      </c>
      <c r="Q53" s="2"/>
      <c r="R53" s="7">
        <f t="shared" si="32"/>
        <v>4.7932882216081073E-2</v>
      </c>
      <c r="S53" s="2"/>
      <c r="T53" s="6">
        <v>4461.25</v>
      </c>
      <c r="U53" s="2"/>
      <c r="V53" s="7">
        <f t="shared" si="33"/>
        <v>6.7530236289602349E-2</v>
      </c>
      <c r="W53" s="2"/>
      <c r="X53" s="6">
        <f t="shared" si="34"/>
        <v>-691.51000000000022</v>
      </c>
      <c r="Y53" s="2"/>
      <c r="Z53" s="7">
        <f t="shared" si="35"/>
        <v>-0.15500364247688433</v>
      </c>
    </row>
    <row r="54" spans="1:26" s="28" customFormat="1" outlineLevel="1" collapsed="1" x14ac:dyDescent="0.3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39961.65</v>
      </c>
      <c r="E54" s="1"/>
      <c r="F54" s="5">
        <f t="shared" si="28"/>
        <v>0.67796062392196244</v>
      </c>
      <c r="G54" s="1"/>
      <c r="H54" s="1">
        <f>SUM(OSRRefH22_5x_0)</f>
        <v>39961</v>
      </c>
      <c r="I54" s="1"/>
      <c r="J54" s="5">
        <f t="shared" si="29"/>
        <v>0.6943942448043372</v>
      </c>
      <c r="K54" s="1"/>
      <c r="L54" s="1">
        <f t="shared" si="30"/>
        <v>0.65000000000145519</v>
      </c>
      <c r="M54" s="1"/>
      <c r="N54" s="5">
        <f t="shared" si="31"/>
        <v>1.6265859212768829E-5</v>
      </c>
      <c r="O54" s="14"/>
      <c r="P54" s="1">
        <f>SUM(OSRRefP22_5x_0)</f>
        <v>79923.3</v>
      </c>
      <c r="Q54" s="1"/>
      <c r="R54" s="5">
        <f t="shared" si="32"/>
        <v>1.0162382883754617</v>
      </c>
      <c r="S54" s="1"/>
      <c r="T54" s="1">
        <f>SUM(OSRRefT22_5x_0)</f>
        <v>79922</v>
      </c>
      <c r="U54" s="1"/>
      <c r="V54" s="5">
        <f t="shared" si="33"/>
        <v>1.2097845995489154</v>
      </c>
      <c r="W54" s="1"/>
      <c r="X54" s="1">
        <f t="shared" si="34"/>
        <v>1.3000000000029104</v>
      </c>
      <c r="Y54" s="1"/>
      <c r="Z54" s="5">
        <f t="shared" si="35"/>
        <v>1.6265859212768829E-5</v>
      </c>
    </row>
    <row r="55" spans="1:26" s="24" customFormat="1" hidden="1" outlineLevel="2" x14ac:dyDescent="0.3">
      <c r="A55" s="27"/>
      <c r="B55" s="11" t="str">
        <f>CONCATENATE("          ", "6321", " - ", "BUILDING DEPRECIATION")</f>
        <v xml:space="preserve">          6321 - BUILDING DEPRECIATION</v>
      </c>
      <c r="C55" s="11"/>
      <c r="D55" s="6">
        <v>28663.98</v>
      </c>
      <c r="E55" s="2"/>
      <c r="F55" s="7">
        <f t="shared" si="28"/>
        <v>0.48629247703452316</v>
      </c>
      <c r="G55" s="2"/>
      <c r="H55" s="6"/>
      <c r="I55" s="2"/>
      <c r="J55" s="7">
        <f t="shared" si="29"/>
        <v>0</v>
      </c>
      <c r="K55" s="2"/>
      <c r="L55" s="6">
        <f t="shared" si="30"/>
        <v>28663.98</v>
      </c>
      <c r="M55" s="2"/>
      <c r="N55" s="7">
        <f t="shared" si="31"/>
        <v>0</v>
      </c>
      <c r="O55" s="11"/>
      <c r="P55" s="6">
        <v>57327.96</v>
      </c>
      <c r="Q55" s="2"/>
      <c r="R55" s="7">
        <f t="shared" si="32"/>
        <v>0.72893471548918687</v>
      </c>
      <c r="S55" s="2"/>
      <c r="T55" s="6"/>
      <c r="U55" s="2"/>
      <c r="V55" s="7">
        <f t="shared" si="33"/>
        <v>0</v>
      </c>
      <c r="W55" s="2"/>
      <c r="X55" s="6">
        <f t="shared" si="34"/>
        <v>57327.96</v>
      </c>
      <c r="Y55" s="2"/>
      <c r="Z55" s="7">
        <f t="shared" si="35"/>
        <v>0</v>
      </c>
    </row>
    <row r="56" spans="1:26" s="24" customFormat="1" hidden="1" outlineLevel="2" x14ac:dyDescent="0.3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11297.67</v>
      </c>
      <c r="E56" s="2"/>
      <c r="F56" s="7">
        <f t="shared" si="28"/>
        <v>0.19166814688743927</v>
      </c>
      <c r="G56" s="2"/>
      <c r="H56" s="6">
        <v>39961</v>
      </c>
      <c r="I56" s="2"/>
      <c r="J56" s="7">
        <f t="shared" si="29"/>
        <v>0.6943942448043372</v>
      </c>
      <c r="K56" s="2"/>
      <c r="L56" s="6">
        <f t="shared" si="30"/>
        <v>-28663.33</v>
      </c>
      <c r="M56" s="2"/>
      <c r="N56" s="7">
        <f t="shared" si="31"/>
        <v>-0.71728260053552217</v>
      </c>
      <c r="O56" s="11"/>
      <c r="P56" s="6">
        <v>22595.34</v>
      </c>
      <c r="Q56" s="2"/>
      <c r="R56" s="7">
        <f t="shared" si="32"/>
        <v>0.28730357288627478</v>
      </c>
      <c r="S56" s="2"/>
      <c r="T56" s="6">
        <v>79922</v>
      </c>
      <c r="U56" s="2"/>
      <c r="V56" s="7">
        <f t="shared" si="33"/>
        <v>1.2097845995489154</v>
      </c>
      <c r="W56" s="2"/>
      <c r="X56" s="6">
        <f t="shared" si="34"/>
        <v>-57326.66</v>
      </c>
      <c r="Y56" s="2"/>
      <c r="Z56" s="7">
        <f t="shared" si="35"/>
        <v>-0.71728260053552217</v>
      </c>
    </row>
    <row r="57" spans="1:26" s="28" customFormat="1" outlineLevel="1" collapsed="1" x14ac:dyDescent="0.3">
      <c r="A57" s="29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18</v>
      </c>
      <c r="E57" s="1"/>
      <c r="F57" s="5">
        <f t="shared" ref="F57:F72" si="36">IF(D$12=0,0,D57/D$12)</f>
        <v>3.0537505910279794E-4</v>
      </c>
      <c r="G57" s="1"/>
      <c r="H57" s="1">
        <f>SUM(OSRRefH22_6x_0)</f>
        <v>40</v>
      </c>
      <c r="I57" s="1"/>
      <c r="J57" s="5">
        <f t="shared" ref="J57:J72" si="37">IF(H$12=0,0,H57/H$12)</f>
        <v>6.9507193994578441E-4</v>
      </c>
      <c r="K57" s="1"/>
      <c r="L57" s="1">
        <f t="shared" ref="L57:L72" si="38">+D57-H57</f>
        <v>-22</v>
      </c>
      <c r="M57" s="1"/>
      <c r="N57" s="5">
        <f t="shared" ref="N57:N72" si="39">IF(H57=0,0,L57/H57)</f>
        <v>-0.55000000000000004</v>
      </c>
      <c r="O57" s="14"/>
      <c r="P57" s="1">
        <f>SUM(OSRRefP22_6x_0)</f>
        <v>18</v>
      </c>
      <c r="Q57" s="1"/>
      <c r="R57" s="5">
        <f t="shared" ref="R57:R72" si="40">IF(P$12=0,0,P57/P$12)</f>
        <v>2.2887304691821171E-4</v>
      </c>
      <c r="S57" s="1"/>
      <c r="T57" s="1">
        <f>SUM(OSRRefT22_6x_0)</f>
        <v>40</v>
      </c>
      <c r="U57" s="1"/>
      <c r="V57" s="5">
        <f t="shared" ref="V57:V72" si="41">IF(T$12=0,0,T57/T$12)</f>
        <v>6.0548264535367758E-4</v>
      </c>
      <c r="W57" s="1"/>
      <c r="X57" s="1">
        <f t="shared" ref="X57:X72" si="42">+P57-T57</f>
        <v>-22</v>
      </c>
      <c r="Y57" s="1"/>
      <c r="Z57" s="5">
        <f t="shared" ref="Z57:Z72" si="43">IF(T57=0,0,X57/T57)</f>
        <v>-0.55000000000000004</v>
      </c>
    </row>
    <row r="58" spans="1:26" s="24" customFormat="1" hidden="1" outlineLevel="2" x14ac:dyDescent="0.3">
      <c r="A58" s="27"/>
      <c r="B58" s="11" t="str">
        <f>CONCATENATE("          ", "6277", " - ", "EMPLOYEE APPRECIATION")</f>
        <v xml:space="preserve">          6277 - EMPLOYEE APPRECIATION</v>
      </c>
      <c r="C58" s="11"/>
      <c r="D58" s="6">
        <v>18</v>
      </c>
      <c r="E58" s="2"/>
      <c r="F58" s="7">
        <f t="shared" si="36"/>
        <v>3.0537505910279794E-4</v>
      </c>
      <c r="G58" s="2"/>
      <c r="H58" s="6">
        <v>40</v>
      </c>
      <c r="I58" s="2"/>
      <c r="J58" s="7">
        <f t="shared" si="37"/>
        <v>6.9507193994578441E-4</v>
      </c>
      <c r="K58" s="2"/>
      <c r="L58" s="6">
        <f t="shared" si="38"/>
        <v>-22</v>
      </c>
      <c r="M58" s="2"/>
      <c r="N58" s="7">
        <f t="shared" si="39"/>
        <v>-0.55000000000000004</v>
      </c>
      <c r="O58" s="11"/>
      <c r="P58" s="6">
        <v>18</v>
      </c>
      <c r="Q58" s="2"/>
      <c r="R58" s="7">
        <f t="shared" si="40"/>
        <v>2.2887304691821171E-4</v>
      </c>
      <c r="S58" s="2"/>
      <c r="T58" s="6">
        <v>40</v>
      </c>
      <c r="U58" s="2"/>
      <c r="V58" s="7">
        <f t="shared" si="41"/>
        <v>6.0548264535367758E-4</v>
      </c>
      <c r="W58" s="2"/>
      <c r="X58" s="6">
        <f t="shared" si="42"/>
        <v>-22</v>
      </c>
      <c r="Y58" s="2"/>
      <c r="Z58" s="7">
        <f t="shared" si="43"/>
        <v>-0.55000000000000004</v>
      </c>
    </row>
    <row r="59" spans="1:26" s="28" customFormat="1" outlineLevel="1" collapsed="1" x14ac:dyDescent="0.3">
      <c r="A59" s="29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1239.52</v>
      </c>
      <c r="E59" s="1"/>
      <c r="F59" s="5">
        <f t="shared" si="36"/>
        <v>2.1028805181061115E-2</v>
      </c>
      <c r="G59" s="1"/>
      <c r="H59" s="1">
        <f>SUM(OSRRefH22_7x_0)</f>
        <v>951</v>
      </c>
      <c r="I59" s="1"/>
      <c r="J59" s="5">
        <f t="shared" si="37"/>
        <v>1.6525335372211025E-2</v>
      </c>
      <c r="K59" s="1"/>
      <c r="L59" s="1">
        <f t="shared" si="38"/>
        <v>288.52</v>
      </c>
      <c r="M59" s="1"/>
      <c r="N59" s="5">
        <f t="shared" si="39"/>
        <v>0.30338590956887485</v>
      </c>
      <c r="O59" s="14"/>
      <c r="P59" s="1">
        <f>SUM(OSRRefP22_7x_0)</f>
        <v>1707.45</v>
      </c>
      <c r="Q59" s="1"/>
      <c r="R59" s="5">
        <f t="shared" si="40"/>
        <v>2.1710515775583365E-2</v>
      </c>
      <c r="S59" s="1"/>
      <c r="T59" s="1">
        <f>SUM(OSRRefT22_7x_0)</f>
        <v>1902</v>
      </c>
      <c r="U59" s="1"/>
      <c r="V59" s="5">
        <f t="shared" si="41"/>
        <v>2.8790699786567366E-2</v>
      </c>
      <c r="W59" s="1"/>
      <c r="X59" s="1">
        <f t="shared" si="42"/>
        <v>-194.54999999999995</v>
      </c>
      <c r="Y59" s="1"/>
      <c r="Z59" s="5">
        <f t="shared" si="43"/>
        <v>-0.10228706624605675</v>
      </c>
    </row>
    <row r="60" spans="1:26" s="24" customFormat="1" hidden="1" outlineLevel="2" x14ac:dyDescent="0.3">
      <c r="A60" s="27"/>
      <c r="B60" s="11" t="str">
        <f>CONCATENATE("          ", "6351", " - ", "EQUIPMENT RENTAL")</f>
        <v xml:space="preserve">          6351 - EQUIPMENT RENTAL</v>
      </c>
      <c r="C60" s="11"/>
      <c r="D60" s="6">
        <v>1239.52</v>
      </c>
      <c r="E60" s="2"/>
      <c r="F60" s="7">
        <f t="shared" si="36"/>
        <v>2.1028805181061115E-2</v>
      </c>
      <c r="G60" s="2"/>
      <c r="H60" s="6">
        <v>951</v>
      </c>
      <c r="I60" s="2"/>
      <c r="J60" s="7">
        <f t="shared" si="37"/>
        <v>1.6525335372211025E-2</v>
      </c>
      <c r="K60" s="2"/>
      <c r="L60" s="6">
        <f t="shared" si="38"/>
        <v>288.52</v>
      </c>
      <c r="M60" s="2"/>
      <c r="N60" s="7">
        <f t="shared" si="39"/>
        <v>0.30338590956887485</v>
      </c>
      <c r="O60" s="11"/>
      <c r="P60" s="6">
        <v>1707.45</v>
      </c>
      <c r="Q60" s="2"/>
      <c r="R60" s="7">
        <f t="shared" si="40"/>
        <v>2.1710515775583365E-2</v>
      </c>
      <c r="S60" s="2"/>
      <c r="T60" s="6">
        <v>1902</v>
      </c>
      <c r="U60" s="2"/>
      <c r="V60" s="7">
        <f t="shared" si="41"/>
        <v>2.8790699786567366E-2</v>
      </c>
      <c r="W60" s="2"/>
      <c r="X60" s="6">
        <f t="shared" si="42"/>
        <v>-194.54999999999995</v>
      </c>
      <c r="Y60" s="2"/>
      <c r="Z60" s="7">
        <f t="shared" si="43"/>
        <v>-0.10228706624605675</v>
      </c>
    </row>
    <row r="61" spans="1:26" s="28" customFormat="1" outlineLevel="1" collapsed="1" x14ac:dyDescent="0.3">
      <c r="A61" s="29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SUM(OSRRefD22_8x_0)</f>
        <v>13768.93</v>
      </c>
      <c r="E61" s="1"/>
      <c r="F61" s="5">
        <f t="shared" si="36"/>
        <v>0.23359376736290485</v>
      </c>
      <c r="G61" s="1"/>
      <c r="H61" s="1">
        <f>SUM(OSRRefH22_8x_0)</f>
        <v>0</v>
      </c>
      <c r="I61" s="1"/>
      <c r="J61" s="5">
        <f t="shared" si="37"/>
        <v>0</v>
      </c>
      <c r="K61" s="1"/>
      <c r="L61" s="1">
        <f t="shared" si="38"/>
        <v>13768.93</v>
      </c>
      <c r="M61" s="1"/>
      <c r="N61" s="5">
        <f t="shared" si="39"/>
        <v>0</v>
      </c>
      <c r="O61" s="14"/>
      <c r="P61" s="1">
        <f>SUM(OSRRefP22_8x_0)</f>
        <v>13934.21</v>
      </c>
      <c r="Q61" s="1"/>
      <c r="R61" s="5">
        <f t="shared" si="40"/>
        <v>0.17717583883878971</v>
      </c>
      <c r="S61" s="1"/>
      <c r="T61" s="1">
        <f>SUM(OSRRefT22_8x_0)</f>
        <v>3235</v>
      </c>
      <c r="U61" s="1"/>
      <c r="V61" s="5">
        <f t="shared" si="41"/>
        <v>4.8968408942978672E-2</v>
      </c>
      <c r="W61" s="1"/>
      <c r="X61" s="1">
        <f t="shared" si="42"/>
        <v>10699.21</v>
      </c>
      <c r="Y61" s="1"/>
      <c r="Z61" s="5">
        <f t="shared" si="43"/>
        <v>3.3073292117465223</v>
      </c>
    </row>
    <row r="62" spans="1:26" s="24" customFormat="1" hidden="1" outlineLevel="2" x14ac:dyDescent="0.3">
      <c r="A62" s="27"/>
      <c r="B62" s="11" t="str">
        <f>CONCATENATE("          ", "6279", " - ", "GENERAL EXPENSE")</f>
        <v xml:space="preserve">          6279 - GENERAL EXPENSE</v>
      </c>
      <c r="C62" s="11"/>
      <c r="D62" s="6">
        <v>13768.93</v>
      </c>
      <c r="E62" s="2"/>
      <c r="F62" s="7">
        <f t="shared" si="36"/>
        <v>0.23359376736290485</v>
      </c>
      <c r="G62" s="2"/>
      <c r="H62" s="6"/>
      <c r="I62" s="2"/>
      <c r="J62" s="7">
        <f t="shared" si="37"/>
        <v>0</v>
      </c>
      <c r="K62" s="2"/>
      <c r="L62" s="6">
        <f t="shared" si="38"/>
        <v>13768.93</v>
      </c>
      <c r="M62" s="2"/>
      <c r="N62" s="7">
        <f t="shared" si="39"/>
        <v>0</v>
      </c>
      <c r="O62" s="11"/>
      <c r="P62" s="6">
        <v>13934.21</v>
      </c>
      <c r="Q62" s="2"/>
      <c r="R62" s="7">
        <f t="shared" si="40"/>
        <v>0.17717583883878971</v>
      </c>
      <c r="S62" s="2"/>
      <c r="T62" s="6">
        <v>3235</v>
      </c>
      <c r="U62" s="2"/>
      <c r="V62" s="7">
        <f t="shared" si="41"/>
        <v>4.8968408942978672E-2</v>
      </c>
      <c r="W62" s="2"/>
      <c r="X62" s="6">
        <f t="shared" si="42"/>
        <v>10699.21</v>
      </c>
      <c r="Y62" s="2"/>
      <c r="Z62" s="7">
        <f t="shared" si="43"/>
        <v>3.3073292117465223</v>
      </c>
    </row>
    <row r="63" spans="1:26" s="28" customFormat="1" outlineLevel="1" collapsed="1" x14ac:dyDescent="0.3">
      <c r="A63" s="29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SUM(OSRRefD22_9x_0)</f>
        <v>6087.22</v>
      </c>
      <c r="E63" s="1"/>
      <c r="F63" s="5">
        <f t="shared" si="36"/>
        <v>0.10327139818176298</v>
      </c>
      <c r="G63" s="1"/>
      <c r="H63" s="1">
        <f>SUM(OSRRefH22_9x_0)</f>
        <v>6000</v>
      </c>
      <c r="I63" s="1"/>
      <c r="J63" s="5">
        <f t="shared" si="37"/>
        <v>0.10426079099186766</v>
      </c>
      <c r="K63" s="1"/>
      <c r="L63" s="1">
        <f t="shared" si="38"/>
        <v>87.220000000000255</v>
      </c>
      <c r="M63" s="1"/>
      <c r="N63" s="5">
        <f t="shared" si="39"/>
        <v>1.453666666666671E-2</v>
      </c>
      <c r="O63" s="14"/>
      <c r="P63" s="1">
        <f>SUM(OSRRefP22_9x_0)</f>
        <v>12174.44</v>
      </c>
      <c r="Q63" s="1"/>
      <c r="R63" s="5">
        <f t="shared" si="40"/>
        <v>0.15480006540683075</v>
      </c>
      <c r="S63" s="1"/>
      <c r="T63" s="1">
        <f>SUM(OSRRefT22_9x_0)</f>
        <v>12000</v>
      </c>
      <c r="U63" s="1"/>
      <c r="V63" s="5">
        <f t="shared" si="41"/>
        <v>0.18164479360610328</v>
      </c>
      <c r="W63" s="1"/>
      <c r="X63" s="1">
        <f t="shared" si="42"/>
        <v>174.44000000000051</v>
      </c>
      <c r="Y63" s="1"/>
      <c r="Z63" s="5">
        <f t="shared" si="43"/>
        <v>1.453666666666671E-2</v>
      </c>
    </row>
    <row r="64" spans="1:26" s="24" customFormat="1" hidden="1" outlineLevel="2" x14ac:dyDescent="0.3">
      <c r="A64" s="27"/>
      <c r="B64" s="11" t="str">
        <f>CONCATENATE("          ", "6314", " - ", "LIABILITY INSURANCE")</f>
        <v xml:space="preserve">          6314 - LIABILITY INSURANCE</v>
      </c>
      <c r="C64" s="11"/>
      <c r="D64" s="6">
        <v>6087.22</v>
      </c>
      <c r="E64" s="2"/>
      <c r="F64" s="7">
        <f t="shared" si="36"/>
        <v>0.10327139818176298</v>
      </c>
      <c r="G64" s="2"/>
      <c r="H64" s="6">
        <v>6000</v>
      </c>
      <c r="I64" s="2"/>
      <c r="J64" s="7">
        <f t="shared" si="37"/>
        <v>0.10426079099186766</v>
      </c>
      <c r="K64" s="2"/>
      <c r="L64" s="6">
        <f t="shared" si="38"/>
        <v>87.220000000000255</v>
      </c>
      <c r="M64" s="2"/>
      <c r="N64" s="7">
        <f t="shared" si="39"/>
        <v>1.453666666666671E-2</v>
      </c>
      <c r="O64" s="11"/>
      <c r="P64" s="6">
        <v>12174.44</v>
      </c>
      <c r="Q64" s="2"/>
      <c r="R64" s="7">
        <f t="shared" si="40"/>
        <v>0.15480006540683075</v>
      </c>
      <c r="S64" s="2"/>
      <c r="T64" s="6">
        <v>12000</v>
      </c>
      <c r="U64" s="2"/>
      <c r="V64" s="7">
        <f t="shared" si="41"/>
        <v>0.18164479360610328</v>
      </c>
      <c r="W64" s="2"/>
      <c r="X64" s="6">
        <f t="shared" si="42"/>
        <v>174.44000000000051</v>
      </c>
      <c r="Y64" s="2"/>
      <c r="Z64" s="7">
        <f t="shared" si="43"/>
        <v>1.453666666666671E-2</v>
      </c>
    </row>
    <row r="65" spans="1:26" s="28" customFormat="1" outlineLevel="1" collapsed="1" x14ac:dyDescent="0.3">
      <c r="A65" s="29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SUM(OSRRefD22_10x_0)</f>
        <v>11158</v>
      </c>
      <c r="E65" s="1"/>
      <c r="F65" s="5">
        <f t="shared" si="36"/>
        <v>0.18929860608161217</v>
      </c>
      <c r="G65" s="1"/>
      <c r="H65" s="1">
        <f>SUM(OSRRefH22_10x_0)</f>
        <v>11158</v>
      </c>
      <c r="I65" s="1"/>
      <c r="J65" s="5">
        <f t="shared" si="37"/>
        <v>0.19389031764787656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SUM(OSRRefP22_10x_0)</f>
        <v>22316</v>
      </c>
      <c r="Q65" s="1"/>
      <c r="R65" s="5">
        <f t="shared" si="40"/>
        <v>0.28375171750148959</v>
      </c>
      <c r="S65" s="1"/>
      <c r="T65" s="1">
        <f>SUM(OSRRefT22_10x_0)</f>
        <v>22316</v>
      </c>
      <c r="U65" s="1"/>
      <c r="V65" s="5">
        <f t="shared" si="41"/>
        <v>0.33779876784281671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3">
      <c r="A66" s="27"/>
      <c r="B66" s="11" t="str">
        <f>CONCATENATE("          ", "6401", " - ", "INTEREST EXPENSE")</f>
        <v xml:space="preserve">          6401 - INTEREST EXPENSE</v>
      </c>
      <c r="C66" s="11"/>
      <c r="D66" s="6">
        <v>11158</v>
      </c>
      <c r="E66" s="2"/>
      <c r="F66" s="7">
        <f t="shared" si="36"/>
        <v>0.18929860608161217</v>
      </c>
      <c r="G66" s="2"/>
      <c r="H66" s="6">
        <v>11158</v>
      </c>
      <c r="I66" s="2"/>
      <c r="J66" s="7">
        <f t="shared" si="37"/>
        <v>0.19389031764787656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22316</v>
      </c>
      <c r="Q66" s="2"/>
      <c r="R66" s="7">
        <f t="shared" si="40"/>
        <v>0.28375171750148959</v>
      </c>
      <c r="S66" s="2"/>
      <c r="T66" s="6">
        <v>22316</v>
      </c>
      <c r="U66" s="2"/>
      <c r="V66" s="7">
        <f t="shared" si="41"/>
        <v>0.33779876784281671</v>
      </c>
      <c r="W66" s="2"/>
      <c r="X66" s="6">
        <f t="shared" si="42"/>
        <v>0</v>
      </c>
      <c r="Y66" s="2"/>
      <c r="Z66" s="7">
        <f t="shared" si="43"/>
        <v>0</v>
      </c>
    </row>
    <row r="67" spans="1:26" s="28" customFormat="1" outlineLevel="1" collapsed="1" x14ac:dyDescent="0.3">
      <c r="A67" s="29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SUM(OSRRefD22_11x_0)</f>
        <v>1850</v>
      </c>
      <c r="E67" s="1"/>
      <c r="F67" s="5">
        <f t="shared" si="36"/>
        <v>3.1385769963343121E-2</v>
      </c>
      <c r="G67" s="1"/>
      <c r="H67" s="1">
        <f>SUM(OSRRefH22_11x_0)</f>
        <v>1850</v>
      </c>
      <c r="I67" s="1"/>
      <c r="J67" s="5">
        <f t="shared" si="37"/>
        <v>3.2147077222492527E-2</v>
      </c>
      <c r="K67" s="1"/>
      <c r="L67" s="1">
        <f t="shared" si="38"/>
        <v>0</v>
      </c>
      <c r="M67" s="1"/>
      <c r="N67" s="5">
        <f t="shared" si="39"/>
        <v>0</v>
      </c>
      <c r="O67" s="14"/>
      <c r="P67" s="1">
        <f>SUM(OSRRefP22_11x_0)</f>
        <v>3700</v>
      </c>
      <c r="Q67" s="1"/>
      <c r="R67" s="5">
        <f t="shared" si="40"/>
        <v>4.704612631096574E-2</v>
      </c>
      <c r="S67" s="1"/>
      <c r="T67" s="1">
        <f>SUM(OSRRefT22_11x_0)</f>
        <v>3700</v>
      </c>
      <c r="U67" s="1"/>
      <c r="V67" s="5">
        <f t="shared" si="41"/>
        <v>5.6007144695215172E-2</v>
      </c>
      <c r="W67" s="1"/>
      <c r="X67" s="1">
        <f t="shared" si="42"/>
        <v>0</v>
      </c>
      <c r="Y67" s="1"/>
      <c r="Z67" s="5">
        <f t="shared" si="43"/>
        <v>0</v>
      </c>
    </row>
    <row r="68" spans="1:26" s="24" customFormat="1" hidden="1" outlineLevel="2" x14ac:dyDescent="0.3">
      <c r="A68" s="27"/>
      <c r="B68" s="11" t="str">
        <f>CONCATENATE("          ", "6273", " - ", "RENT")</f>
        <v xml:space="preserve">          6273 - RENT</v>
      </c>
      <c r="C68" s="11"/>
      <c r="D68" s="6">
        <v>1850</v>
      </c>
      <c r="E68" s="2"/>
      <c r="F68" s="7">
        <f t="shared" si="36"/>
        <v>3.1385769963343121E-2</v>
      </c>
      <c r="G68" s="2"/>
      <c r="H68" s="6">
        <v>1850</v>
      </c>
      <c r="I68" s="2"/>
      <c r="J68" s="7">
        <f t="shared" si="37"/>
        <v>3.2147077222492527E-2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>
        <v>3700</v>
      </c>
      <c r="Q68" s="2"/>
      <c r="R68" s="7">
        <f t="shared" si="40"/>
        <v>4.704612631096574E-2</v>
      </c>
      <c r="S68" s="2"/>
      <c r="T68" s="6">
        <v>3700</v>
      </c>
      <c r="U68" s="2"/>
      <c r="V68" s="7">
        <f t="shared" si="41"/>
        <v>5.6007144695215172E-2</v>
      </c>
      <c r="W68" s="2"/>
      <c r="X68" s="6">
        <f t="shared" si="42"/>
        <v>0</v>
      </c>
      <c r="Y68" s="2"/>
      <c r="Z68" s="7">
        <f t="shared" si="43"/>
        <v>0</v>
      </c>
    </row>
    <row r="69" spans="1:26" s="28" customFormat="1" outlineLevel="1" collapsed="1" x14ac:dyDescent="0.3">
      <c r="A69" s="29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SUM(OSRRefD22_12x_0)</f>
        <v>24416.530000000002</v>
      </c>
      <c r="E69" s="1"/>
      <c r="F69" s="5">
        <f t="shared" si="36"/>
        <v>0.41423329399084663</v>
      </c>
      <c r="G69" s="1"/>
      <c r="H69" s="1">
        <f>SUM(OSRRefH22_12x_0)</f>
        <v>2413</v>
      </c>
      <c r="I69" s="1"/>
      <c r="J69" s="5">
        <f t="shared" si="37"/>
        <v>4.1930214777229441E-2</v>
      </c>
      <c r="K69" s="1"/>
      <c r="L69" s="1">
        <f t="shared" si="38"/>
        <v>22003.530000000002</v>
      </c>
      <c r="M69" s="1"/>
      <c r="N69" s="5">
        <f t="shared" si="39"/>
        <v>9.118744301699131</v>
      </c>
      <c r="O69" s="14"/>
      <c r="P69" s="1">
        <f>SUM(OSRRefP22_12x_0)</f>
        <v>27548.240000000002</v>
      </c>
      <c r="Q69" s="1"/>
      <c r="R69" s="5">
        <f t="shared" si="40"/>
        <v>0.35028053477967536</v>
      </c>
      <c r="S69" s="1"/>
      <c r="T69" s="1">
        <f>SUM(OSRRefT22_12x_0)</f>
        <v>16242</v>
      </c>
      <c r="U69" s="1"/>
      <c r="V69" s="5">
        <f t="shared" si="41"/>
        <v>0.24585622814586078</v>
      </c>
      <c r="W69" s="1"/>
      <c r="X69" s="1">
        <f t="shared" si="42"/>
        <v>11306.240000000002</v>
      </c>
      <c r="Y69" s="1"/>
      <c r="Z69" s="5">
        <f t="shared" si="43"/>
        <v>0.69611131634035228</v>
      </c>
    </row>
    <row r="70" spans="1:26" s="24" customFormat="1" hidden="1" outlineLevel="2" x14ac:dyDescent="0.3">
      <c r="A70" s="27"/>
      <c r="B70" s="11" t="str">
        <f>CONCATENATE("          ", "6371", " - ", "COMPUTER SOFTWARE MAINTENANCE")</f>
        <v xml:space="preserve">          6371 - COMPUTER SOFTWARE MAINTENANCE</v>
      </c>
      <c r="C70" s="11"/>
      <c r="D70" s="6">
        <v>5177.72</v>
      </c>
      <c r="E70" s="2"/>
      <c r="F70" s="7">
        <f t="shared" si="36"/>
        <v>8.7841475056541052E-2</v>
      </c>
      <c r="G70" s="2"/>
      <c r="H70" s="6"/>
      <c r="I70" s="2"/>
      <c r="J70" s="7">
        <f t="shared" si="37"/>
        <v>0</v>
      </c>
      <c r="K70" s="2"/>
      <c r="L70" s="6">
        <f t="shared" si="38"/>
        <v>5177.72</v>
      </c>
      <c r="M70" s="2"/>
      <c r="N70" s="7">
        <f t="shared" si="39"/>
        <v>0</v>
      </c>
      <c r="O70" s="11"/>
      <c r="P70" s="6">
        <v>5177.72</v>
      </c>
      <c r="Q70" s="2"/>
      <c r="R70" s="7">
        <f t="shared" si="40"/>
        <v>6.5835586249409064E-2</v>
      </c>
      <c r="S70" s="2"/>
      <c r="T70" s="6"/>
      <c r="U70" s="2"/>
      <c r="V70" s="7">
        <f t="shared" si="41"/>
        <v>0</v>
      </c>
      <c r="W70" s="2"/>
      <c r="X70" s="6">
        <f t="shared" si="42"/>
        <v>5177.72</v>
      </c>
      <c r="Y70" s="2"/>
      <c r="Z70" s="7">
        <f t="shared" si="43"/>
        <v>0</v>
      </c>
    </row>
    <row r="71" spans="1:26" s="24" customFormat="1" hidden="1" outlineLevel="2" x14ac:dyDescent="0.3">
      <c r="A71" s="27"/>
      <c r="B71" s="11" t="str">
        <f>CONCATENATE("          ", "6373", " - ", "MAINTENANCE CONTRACTS")</f>
        <v xml:space="preserve">          6373 - MAINTENANCE CONTRACTS</v>
      </c>
      <c r="C71" s="11"/>
      <c r="D71" s="6"/>
      <c r="E71" s="2"/>
      <c r="F71" s="7">
        <f t="shared" si="36"/>
        <v>0</v>
      </c>
      <c r="G71" s="2"/>
      <c r="H71" s="6"/>
      <c r="I71" s="2"/>
      <c r="J71" s="7">
        <f t="shared" si="37"/>
        <v>0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>
        <v>0.87</v>
      </c>
      <c r="Q71" s="2"/>
      <c r="R71" s="7">
        <f t="shared" si="40"/>
        <v>1.1062197267713566E-5</v>
      </c>
      <c r="S71" s="2"/>
      <c r="T71" s="6">
        <v>1440</v>
      </c>
      <c r="U71" s="2"/>
      <c r="V71" s="7">
        <f t="shared" si="41"/>
        <v>2.1797375232732393E-2</v>
      </c>
      <c r="W71" s="2"/>
      <c r="X71" s="6">
        <f t="shared" si="42"/>
        <v>-1439.13</v>
      </c>
      <c r="Y71" s="2"/>
      <c r="Z71" s="7">
        <f t="shared" si="43"/>
        <v>-0.99939583333333337</v>
      </c>
    </row>
    <row r="72" spans="1:26" s="24" customFormat="1" hidden="1" outlineLevel="2" x14ac:dyDescent="0.3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6">
        <v>19238.810000000001</v>
      </c>
      <c r="E72" s="2"/>
      <c r="F72" s="7">
        <f t="shared" si="36"/>
        <v>0.32639181893430558</v>
      </c>
      <c r="G72" s="2"/>
      <c r="H72" s="6">
        <v>2413</v>
      </c>
      <c r="I72" s="2"/>
      <c r="J72" s="7">
        <f t="shared" si="37"/>
        <v>4.1930214777229441E-2</v>
      </c>
      <c r="K72" s="2"/>
      <c r="L72" s="6">
        <f t="shared" si="38"/>
        <v>16825.810000000001</v>
      </c>
      <c r="M72" s="2"/>
      <c r="N72" s="7">
        <f t="shared" si="39"/>
        <v>6.9729838375466233</v>
      </c>
      <c r="O72" s="11"/>
      <c r="P72" s="6">
        <v>22369.65</v>
      </c>
      <c r="Q72" s="2"/>
      <c r="R72" s="7">
        <f t="shared" si="40"/>
        <v>0.2844338863329986</v>
      </c>
      <c r="S72" s="2"/>
      <c r="T72" s="6">
        <v>14802</v>
      </c>
      <c r="U72" s="2"/>
      <c r="V72" s="7">
        <f t="shared" si="41"/>
        <v>0.22405885291312838</v>
      </c>
      <c r="W72" s="2"/>
      <c r="X72" s="6">
        <f t="shared" si="42"/>
        <v>7567.6500000000015</v>
      </c>
      <c r="Y72" s="2"/>
      <c r="Z72" s="7">
        <f t="shared" si="43"/>
        <v>0.51125861370085135</v>
      </c>
    </row>
    <row r="73" spans="1:26" s="28" customFormat="1" outlineLevel="1" collapsed="1" x14ac:dyDescent="0.3">
      <c r="A73" s="29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1">
        <f>SUM(OSRRefD22_13x_0)</f>
        <v>0</v>
      </c>
      <c r="E73" s="1"/>
      <c r="F73" s="5">
        <f t="shared" ref="F73:F80" si="44">IF(D$12=0,0,D73/D$12)</f>
        <v>0</v>
      </c>
      <c r="G73" s="1"/>
      <c r="H73" s="1">
        <f>SUM(OSRRefH22_13x_0)</f>
        <v>405</v>
      </c>
      <c r="I73" s="1"/>
      <c r="J73" s="5">
        <f t="shared" ref="J73:J80" si="45">IF(H$12=0,0,H73/H$12)</f>
        <v>7.037603391951067E-3</v>
      </c>
      <c r="K73" s="1"/>
      <c r="L73" s="1">
        <f t="shared" ref="L73:L80" si="46">+D73-H73</f>
        <v>-405</v>
      </c>
      <c r="M73" s="1"/>
      <c r="N73" s="5">
        <f t="shared" ref="N73:N80" si="47">IF(H73=0,0,L73/H73)</f>
        <v>-1</v>
      </c>
      <c r="O73" s="14"/>
      <c r="P73" s="1">
        <f>SUM(OSRRefP22_13x_0)</f>
        <v>0</v>
      </c>
      <c r="Q73" s="1"/>
      <c r="R73" s="5">
        <f t="shared" ref="R73:R80" si="48">IF(P$12=0,0,P73/P$12)</f>
        <v>0</v>
      </c>
      <c r="S73" s="1"/>
      <c r="T73" s="1">
        <f>SUM(OSRRefT22_13x_0)</f>
        <v>405</v>
      </c>
      <c r="U73" s="1"/>
      <c r="V73" s="5">
        <f t="shared" ref="V73:V80" si="49">IF(T$12=0,0,T73/T$12)</f>
        <v>6.1305117842059848E-3</v>
      </c>
      <c r="W73" s="1"/>
      <c r="X73" s="1">
        <f t="shared" ref="X73:X80" si="50">+P73-T73</f>
        <v>-405</v>
      </c>
      <c r="Y73" s="1"/>
      <c r="Z73" s="5">
        <f t="shared" ref="Z73:Z80" si="51">IF(T73=0,0,X73/T73)</f>
        <v>-1</v>
      </c>
    </row>
    <row r="74" spans="1:26" s="24" customFormat="1" hidden="1" outlineLevel="2" x14ac:dyDescent="0.3">
      <c r="A74" s="27"/>
      <c r="B74" s="11" t="str">
        <f>CONCATENATE("          ", "6259", " - ", "ROYALTY &amp; COMMISSIONS")</f>
        <v xml:space="preserve">          6259 - ROYALTY &amp; COMMISSIONS</v>
      </c>
      <c r="C74" s="11"/>
      <c r="D74" s="6"/>
      <c r="E74" s="2"/>
      <c r="F74" s="7">
        <f t="shared" si="44"/>
        <v>0</v>
      </c>
      <c r="G74" s="2"/>
      <c r="H74" s="6">
        <v>405</v>
      </c>
      <c r="I74" s="2"/>
      <c r="J74" s="7">
        <f t="shared" si="45"/>
        <v>7.037603391951067E-3</v>
      </c>
      <c r="K74" s="2"/>
      <c r="L74" s="6">
        <f t="shared" si="46"/>
        <v>-405</v>
      </c>
      <c r="M74" s="2"/>
      <c r="N74" s="7">
        <f t="shared" si="47"/>
        <v>-1</v>
      </c>
      <c r="O74" s="11"/>
      <c r="P74" s="6"/>
      <c r="Q74" s="2"/>
      <c r="R74" s="7">
        <f t="shared" si="48"/>
        <v>0</v>
      </c>
      <c r="S74" s="2"/>
      <c r="T74" s="6">
        <v>405</v>
      </c>
      <c r="U74" s="2"/>
      <c r="V74" s="7">
        <f t="shared" si="49"/>
        <v>6.1305117842059848E-3</v>
      </c>
      <c r="W74" s="2"/>
      <c r="X74" s="6">
        <f t="shared" si="50"/>
        <v>-405</v>
      </c>
      <c r="Y74" s="2"/>
      <c r="Z74" s="7">
        <f t="shared" si="51"/>
        <v>-1</v>
      </c>
    </row>
    <row r="75" spans="1:26" s="28" customFormat="1" outlineLevel="1" collapsed="1" x14ac:dyDescent="0.3">
      <c r="A75" s="29"/>
      <c r="B75" s="14" t="str">
        <f>CONCATENATE("     ","Services                                          ")</f>
        <v xml:space="preserve">     Services                                          </v>
      </c>
      <c r="C75" s="14"/>
      <c r="D75" s="1">
        <f>SUM(OSRRefD22_14x_0)</f>
        <v>23789.660000000003</v>
      </c>
      <c r="E75" s="1"/>
      <c r="F75" s="5">
        <f t="shared" si="44"/>
        <v>0.40359826825197048</v>
      </c>
      <c r="G75" s="1"/>
      <c r="H75" s="1">
        <f>SUM(OSRRefH22_14x_0)</f>
        <v>11366</v>
      </c>
      <c r="I75" s="1"/>
      <c r="J75" s="5">
        <f t="shared" si="45"/>
        <v>0.19750469173559462</v>
      </c>
      <c r="K75" s="1"/>
      <c r="L75" s="1">
        <f t="shared" si="46"/>
        <v>12423.660000000003</v>
      </c>
      <c r="M75" s="1"/>
      <c r="N75" s="5">
        <f t="shared" si="47"/>
        <v>1.0930547246172799</v>
      </c>
      <c r="O75" s="14"/>
      <c r="P75" s="1">
        <f>SUM(OSRRefP22_14x_0)</f>
        <v>28530.739999999998</v>
      </c>
      <c r="Q75" s="1"/>
      <c r="R75" s="5">
        <f t="shared" si="48"/>
        <v>0.36277318859062774</v>
      </c>
      <c r="S75" s="1"/>
      <c r="T75" s="1">
        <f>SUM(OSRRefT22_14x_0)</f>
        <v>17295</v>
      </c>
      <c r="U75" s="1"/>
      <c r="V75" s="5">
        <f t="shared" si="49"/>
        <v>0.26179555878479632</v>
      </c>
      <c r="W75" s="1"/>
      <c r="X75" s="1">
        <f t="shared" si="50"/>
        <v>11235.739999999998</v>
      </c>
      <c r="Y75" s="1"/>
      <c r="Z75" s="5">
        <f t="shared" si="51"/>
        <v>0.64965250072275216</v>
      </c>
    </row>
    <row r="76" spans="1:26" s="24" customFormat="1" hidden="1" outlineLevel="2" x14ac:dyDescent="0.3">
      <c r="A76" s="27"/>
      <c r="B76" s="11" t="str">
        <f>CONCATENATE("          ", "6282", " - ", "JANITORIAL/EXTERMINATOR EXPENS")</f>
        <v xml:space="preserve">          6282 - JANITORIAL/EXTERMINATOR EXPENS</v>
      </c>
      <c r="C76" s="11"/>
      <c r="D76" s="6">
        <v>1341.9</v>
      </c>
      <c r="E76" s="2"/>
      <c r="F76" s="7">
        <f t="shared" si="44"/>
        <v>2.2765710656113585E-2</v>
      </c>
      <c r="G76" s="2"/>
      <c r="H76" s="6">
        <v>1436</v>
      </c>
      <c r="I76" s="2"/>
      <c r="J76" s="7">
        <f t="shared" si="45"/>
        <v>2.4953082644053659E-2</v>
      </c>
      <c r="K76" s="2"/>
      <c r="L76" s="6">
        <f t="shared" si="46"/>
        <v>-94.099999999999909</v>
      </c>
      <c r="M76" s="2"/>
      <c r="N76" s="7">
        <f t="shared" si="47"/>
        <v>-6.5529247910863453E-2</v>
      </c>
      <c r="O76" s="11"/>
      <c r="P76" s="6">
        <v>2163.85</v>
      </c>
      <c r="Q76" s="2"/>
      <c r="R76" s="7">
        <f t="shared" si="48"/>
        <v>2.7513719031887353E-2</v>
      </c>
      <c r="S76" s="2"/>
      <c r="T76" s="6">
        <v>2414</v>
      </c>
      <c r="U76" s="2"/>
      <c r="V76" s="7">
        <f t="shared" si="49"/>
        <v>3.654087764709444E-2</v>
      </c>
      <c r="W76" s="2"/>
      <c r="X76" s="6">
        <f t="shared" si="50"/>
        <v>-250.15000000000009</v>
      </c>
      <c r="Y76" s="2"/>
      <c r="Z76" s="7">
        <f t="shared" si="51"/>
        <v>-0.1036246893123447</v>
      </c>
    </row>
    <row r="77" spans="1:26" s="24" customFormat="1" hidden="1" outlineLevel="2" x14ac:dyDescent="0.3">
      <c r="A77" s="27"/>
      <c r="B77" s="11" t="str">
        <f>CONCATENATE("          ", "6283", " - ", "PLANT SERVICE")</f>
        <v xml:space="preserve">          6283 - PLANT SERVICE</v>
      </c>
      <c r="C77" s="11"/>
      <c r="D77" s="6"/>
      <c r="E77" s="2"/>
      <c r="F77" s="7">
        <f t="shared" si="44"/>
        <v>0</v>
      </c>
      <c r="G77" s="2"/>
      <c r="H77" s="6">
        <v>100</v>
      </c>
      <c r="I77" s="2"/>
      <c r="J77" s="7">
        <f t="shared" si="45"/>
        <v>1.7376798498644609E-3</v>
      </c>
      <c r="K77" s="2"/>
      <c r="L77" s="6">
        <f t="shared" si="46"/>
        <v>-100</v>
      </c>
      <c r="M77" s="2"/>
      <c r="N77" s="7">
        <f t="shared" si="47"/>
        <v>-1</v>
      </c>
      <c r="O77" s="11"/>
      <c r="P77" s="6"/>
      <c r="Q77" s="2"/>
      <c r="R77" s="7">
        <f t="shared" si="48"/>
        <v>0</v>
      </c>
      <c r="S77" s="2"/>
      <c r="T77" s="6">
        <v>200</v>
      </c>
      <c r="U77" s="2"/>
      <c r="V77" s="7">
        <f t="shared" si="49"/>
        <v>3.0274132267683876E-3</v>
      </c>
      <c r="W77" s="2"/>
      <c r="X77" s="6">
        <f t="shared" si="50"/>
        <v>-200</v>
      </c>
      <c r="Y77" s="2"/>
      <c r="Z77" s="7">
        <f t="shared" si="51"/>
        <v>-1</v>
      </c>
    </row>
    <row r="78" spans="1:26" s="24" customFormat="1" hidden="1" outlineLevel="2" x14ac:dyDescent="0.3">
      <c r="A78" s="27"/>
      <c r="B78" s="11" t="str">
        <f>CONCATENATE("          ", "6284", " - ", "TRASH REMOVAL EXPENSE")</f>
        <v xml:space="preserve">          6284 - TRASH REMOVAL EXPENSE</v>
      </c>
      <c r="C78" s="11"/>
      <c r="D78" s="6"/>
      <c r="E78" s="2"/>
      <c r="F78" s="7">
        <f t="shared" si="44"/>
        <v>0</v>
      </c>
      <c r="G78" s="2"/>
      <c r="H78" s="6">
        <v>1000</v>
      </c>
      <c r="I78" s="2"/>
      <c r="J78" s="7">
        <f t="shared" si="45"/>
        <v>1.7376798498644611E-2</v>
      </c>
      <c r="K78" s="2"/>
      <c r="L78" s="6">
        <f t="shared" si="46"/>
        <v>-1000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2000</v>
      </c>
      <c r="U78" s="2"/>
      <c r="V78" s="7">
        <f t="shared" si="49"/>
        <v>3.0274132267683877E-2</v>
      </c>
      <c r="W78" s="2"/>
      <c r="X78" s="6">
        <f t="shared" si="50"/>
        <v>-2000</v>
      </c>
      <c r="Y78" s="2"/>
      <c r="Z78" s="7">
        <f t="shared" si="51"/>
        <v>-1</v>
      </c>
    </row>
    <row r="79" spans="1:26" s="24" customFormat="1" hidden="1" outlineLevel="2" x14ac:dyDescent="0.3">
      <c r="A79" s="27"/>
      <c r="B79" s="11" t="str">
        <f>CONCATENATE("          ", "6285", " - ", "JANITORIAL SERVICES")</f>
        <v xml:space="preserve">          6285 - JANITORIAL SERVICES</v>
      </c>
      <c r="C79" s="11"/>
      <c r="D79" s="6">
        <v>22236.080000000002</v>
      </c>
      <c r="E79" s="2"/>
      <c r="F79" s="7">
        <f t="shared" si="44"/>
        <v>0.37724134690080796</v>
      </c>
      <c r="G79" s="2"/>
      <c r="H79" s="6">
        <v>8224</v>
      </c>
      <c r="I79" s="2"/>
      <c r="J79" s="7">
        <f t="shared" si="45"/>
        <v>0.14290679085285327</v>
      </c>
      <c r="K79" s="2"/>
      <c r="L79" s="6">
        <f t="shared" si="46"/>
        <v>14012.080000000002</v>
      </c>
      <c r="M79" s="2"/>
      <c r="N79" s="7">
        <f t="shared" si="47"/>
        <v>1.7038035019455255</v>
      </c>
      <c r="O79" s="11"/>
      <c r="P79" s="6">
        <v>25995.47</v>
      </c>
      <c r="Q79" s="2"/>
      <c r="R79" s="7">
        <f t="shared" si="48"/>
        <v>0.33053680138727581</v>
      </c>
      <c r="S79" s="2"/>
      <c r="T79" s="6">
        <v>11265</v>
      </c>
      <c r="U79" s="2"/>
      <c r="V79" s="7">
        <f t="shared" si="49"/>
        <v>0.17051904999772943</v>
      </c>
      <c r="W79" s="2"/>
      <c r="X79" s="6">
        <f t="shared" si="50"/>
        <v>14730.470000000001</v>
      </c>
      <c r="Y79" s="2"/>
      <c r="Z79" s="7">
        <f t="shared" si="51"/>
        <v>1.3076316023080339</v>
      </c>
    </row>
    <row r="80" spans="1:26" s="24" customFormat="1" hidden="1" outlineLevel="2" x14ac:dyDescent="0.3">
      <c r="A80" s="27"/>
      <c r="B80" s="11" t="str">
        <f>CONCATENATE("          ", "6286", " - ", "LAUNDRY EXPENSE")</f>
        <v xml:space="preserve">          6286 - LAUNDRY EXPENSE</v>
      </c>
      <c r="C80" s="11"/>
      <c r="D80" s="6">
        <v>211.68</v>
      </c>
      <c r="E80" s="2"/>
      <c r="F80" s="7">
        <f t="shared" si="44"/>
        <v>3.5912106950489035E-3</v>
      </c>
      <c r="G80" s="2"/>
      <c r="H80" s="6">
        <v>606</v>
      </c>
      <c r="I80" s="2"/>
      <c r="J80" s="7">
        <f t="shared" si="45"/>
        <v>1.0530339890178634E-2</v>
      </c>
      <c r="K80" s="2"/>
      <c r="L80" s="6">
        <f t="shared" si="46"/>
        <v>-394.32</v>
      </c>
      <c r="M80" s="2"/>
      <c r="N80" s="7">
        <f t="shared" si="47"/>
        <v>-0.65069306930693072</v>
      </c>
      <c r="O80" s="11"/>
      <c r="P80" s="6">
        <v>371.42</v>
      </c>
      <c r="Q80" s="2"/>
      <c r="R80" s="7">
        <f t="shared" si="48"/>
        <v>4.7226681714645667E-3</v>
      </c>
      <c r="S80" s="2"/>
      <c r="T80" s="6">
        <v>1416</v>
      </c>
      <c r="U80" s="2"/>
      <c r="V80" s="7">
        <f t="shared" si="49"/>
        <v>2.1434085645520184E-2</v>
      </c>
      <c r="W80" s="2"/>
      <c r="X80" s="6">
        <f t="shared" si="50"/>
        <v>-1044.58</v>
      </c>
      <c r="Y80" s="2"/>
      <c r="Z80" s="7">
        <f t="shared" si="51"/>
        <v>-0.73769774011299427</v>
      </c>
    </row>
    <row r="81" spans="1:26" s="28" customFormat="1" outlineLevel="1" collapsed="1" x14ac:dyDescent="0.3">
      <c r="A81" s="29"/>
      <c r="B81" s="14" t="str">
        <f>CONCATENATE("     ","Subscriptions &amp; Dues                              ")</f>
        <v xml:space="preserve">     Subscriptions &amp; Dues                              </v>
      </c>
      <c r="C81" s="14"/>
      <c r="D81" s="1">
        <f>SUM(OSRRefD22_15x_0)</f>
        <v>593.59</v>
      </c>
      <c r="E81" s="1"/>
      <c r="F81" s="5">
        <f t="shared" ref="F81:F93" si="52">IF(D$12=0,0,D81/D$12)</f>
        <v>1.0070421185157212E-2</v>
      </c>
      <c r="G81" s="1"/>
      <c r="H81" s="1">
        <f>SUM(OSRRefH22_15x_0)</f>
        <v>610</v>
      </c>
      <c r="I81" s="1"/>
      <c r="J81" s="5">
        <f t="shared" ref="J81:J93" si="53">IF(H$12=0,0,H81/H$12)</f>
        <v>1.0599847084173213E-2</v>
      </c>
      <c r="K81" s="1"/>
      <c r="L81" s="1">
        <f t="shared" ref="L81:L93" si="54">+D81-H81</f>
        <v>-16.409999999999968</v>
      </c>
      <c r="M81" s="1"/>
      <c r="N81" s="5">
        <f t="shared" ref="N81:N93" si="55">IF(H81=0,0,L81/H81)</f>
        <v>-2.6901639344262242E-2</v>
      </c>
      <c r="O81" s="14"/>
      <c r="P81" s="1">
        <f>SUM(OSRRefP22_15x_0)</f>
        <v>724.26</v>
      </c>
      <c r="Q81" s="1"/>
      <c r="R81" s="5">
        <f t="shared" ref="R81:R93" si="56">IF(P$12=0,0,P81/P$12)</f>
        <v>9.2090884978324444E-3</v>
      </c>
      <c r="S81" s="1"/>
      <c r="T81" s="1">
        <f>SUM(OSRRefT22_15x_0)</f>
        <v>990</v>
      </c>
      <c r="U81" s="1"/>
      <c r="V81" s="5">
        <f t="shared" ref="V81:V93" si="57">IF(T$12=0,0,T81/T$12)</f>
        <v>1.4985695472503519E-2</v>
      </c>
      <c r="W81" s="1"/>
      <c r="X81" s="1">
        <f t="shared" ref="X81:X93" si="58">+P81-T81</f>
        <v>-265.74</v>
      </c>
      <c r="Y81" s="1"/>
      <c r="Z81" s="5">
        <f t="shared" ref="Z81:Z93" si="59">IF(T81=0,0,X81/T81)</f>
        <v>-0.26842424242424245</v>
      </c>
    </row>
    <row r="82" spans="1:26" s="24" customFormat="1" hidden="1" outlineLevel="2" x14ac:dyDescent="0.3">
      <c r="A82" s="27"/>
      <c r="B82" s="11" t="str">
        <f>CONCATENATE("          ", "6275", " - ", "SUBSCRIPTIONS")</f>
        <v xml:space="preserve">          6275 - SUBSCRIPTIONS</v>
      </c>
      <c r="C82" s="11"/>
      <c r="D82" s="6">
        <v>593.59</v>
      </c>
      <c r="E82" s="2"/>
      <c r="F82" s="7">
        <f t="shared" si="52"/>
        <v>1.0070421185157212E-2</v>
      </c>
      <c r="G82" s="2"/>
      <c r="H82" s="6">
        <v>610</v>
      </c>
      <c r="I82" s="2"/>
      <c r="J82" s="7">
        <f t="shared" si="53"/>
        <v>1.0599847084173213E-2</v>
      </c>
      <c r="K82" s="2"/>
      <c r="L82" s="6">
        <f t="shared" si="54"/>
        <v>-16.409999999999968</v>
      </c>
      <c r="M82" s="2"/>
      <c r="N82" s="7">
        <f t="shared" si="55"/>
        <v>-2.6901639344262242E-2</v>
      </c>
      <c r="O82" s="11"/>
      <c r="P82" s="6">
        <v>724.26</v>
      </c>
      <c r="Q82" s="2"/>
      <c r="R82" s="7">
        <f t="shared" si="56"/>
        <v>9.2090884978324444E-3</v>
      </c>
      <c r="S82" s="2"/>
      <c r="T82" s="6">
        <v>990</v>
      </c>
      <c r="U82" s="2"/>
      <c r="V82" s="7">
        <f t="shared" si="57"/>
        <v>1.4985695472503519E-2</v>
      </c>
      <c r="W82" s="2"/>
      <c r="X82" s="6">
        <f t="shared" si="58"/>
        <v>-265.74</v>
      </c>
      <c r="Y82" s="2"/>
      <c r="Z82" s="7">
        <f t="shared" si="59"/>
        <v>-0.26842424242424245</v>
      </c>
    </row>
    <row r="83" spans="1:26" s="28" customFormat="1" outlineLevel="1" collapsed="1" x14ac:dyDescent="0.3">
      <c r="A83" s="29"/>
      <c r="B83" s="14" t="str">
        <f>CONCATENATE("     ","Supplies                                          ")</f>
        <v xml:space="preserve">     Supplies                                          </v>
      </c>
      <c r="C83" s="14"/>
      <c r="D83" s="1">
        <f>SUM(OSRRefD22_16x_0)</f>
        <v>3851.58</v>
      </c>
      <c r="E83" s="1"/>
      <c r="F83" s="5">
        <f t="shared" si="52"/>
        <v>6.5343137229953024E-2</v>
      </c>
      <c r="G83" s="1"/>
      <c r="H83" s="1">
        <f>SUM(OSRRefH22_16x_0)</f>
        <v>9129</v>
      </c>
      <c r="I83" s="1"/>
      <c r="J83" s="5">
        <f t="shared" si="53"/>
        <v>0.15863279349412665</v>
      </c>
      <c r="K83" s="1"/>
      <c r="L83" s="1">
        <f t="shared" si="54"/>
        <v>-5277.42</v>
      </c>
      <c r="M83" s="1"/>
      <c r="N83" s="5">
        <f t="shared" si="55"/>
        <v>-0.57809398619783114</v>
      </c>
      <c r="O83" s="14"/>
      <c r="P83" s="1">
        <f>SUM(OSRRefP22_16x_0)</f>
        <v>5694.23</v>
      </c>
      <c r="Q83" s="1"/>
      <c r="R83" s="5">
        <f t="shared" si="56"/>
        <v>7.2403098330727139E-2</v>
      </c>
      <c r="S83" s="1"/>
      <c r="T83" s="1">
        <f>SUM(OSRRefT22_16x_0)</f>
        <v>18168</v>
      </c>
      <c r="U83" s="1"/>
      <c r="V83" s="5">
        <f t="shared" si="57"/>
        <v>0.27501021751964033</v>
      </c>
      <c r="W83" s="1"/>
      <c r="X83" s="1">
        <f t="shared" si="58"/>
        <v>-12473.77</v>
      </c>
      <c r="Y83" s="1"/>
      <c r="Z83" s="5">
        <f t="shared" si="59"/>
        <v>-0.68657915015411719</v>
      </c>
    </row>
    <row r="84" spans="1:26" s="24" customFormat="1" hidden="1" outlineLevel="2" x14ac:dyDescent="0.3">
      <c r="A84" s="27"/>
      <c r="B84" s="11" t="str">
        <f>CONCATENATE("          ", "6234", " - ", "EXPENDABLE SUPPLIES &amp; EQUIPMEN")</f>
        <v xml:space="preserve">          6234 - EXPENDABLE SUPPLIES &amp; EQUIPMEN</v>
      </c>
      <c r="C84" s="11"/>
      <c r="D84" s="6"/>
      <c r="E84" s="2"/>
      <c r="F84" s="7">
        <f t="shared" si="52"/>
        <v>0</v>
      </c>
      <c r="G84" s="2"/>
      <c r="H84" s="6">
        <v>200</v>
      </c>
      <c r="I84" s="2"/>
      <c r="J84" s="7">
        <f t="shared" si="53"/>
        <v>3.4753596997289219E-3</v>
      </c>
      <c r="K84" s="2"/>
      <c r="L84" s="6">
        <f t="shared" si="54"/>
        <v>-200</v>
      </c>
      <c r="M84" s="2"/>
      <c r="N84" s="7">
        <f t="shared" si="55"/>
        <v>-1</v>
      </c>
      <c r="O84" s="11"/>
      <c r="P84" s="6"/>
      <c r="Q84" s="2"/>
      <c r="R84" s="7">
        <f t="shared" si="56"/>
        <v>0</v>
      </c>
      <c r="S84" s="2"/>
      <c r="T84" s="6">
        <v>200</v>
      </c>
      <c r="U84" s="2"/>
      <c r="V84" s="7">
        <f t="shared" si="57"/>
        <v>3.0274132267683876E-3</v>
      </c>
      <c r="W84" s="2"/>
      <c r="X84" s="6">
        <f t="shared" si="58"/>
        <v>-200</v>
      </c>
      <c r="Y84" s="2"/>
      <c r="Z84" s="7">
        <f t="shared" si="59"/>
        <v>-1</v>
      </c>
    </row>
    <row r="85" spans="1:26" s="24" customFormat="1" hidden="1" outlineLevel="2" x14ac:dyDescent="0.3">
      <c r="A85" s="27"/>
      <c r="B85" s="11" t="str">
        <f>CONCATENATE("          ", "6235", " - ", "COVID-19 EXPENSES")</f>
        <v xml:space="preserve">          6235 - COVID-19 EXPENSES</v>
      </c>
      <c r="C85" s="11"/>
      <c r="D85" s="6"/>
      <c r="E85" s="2"/>
      <c r="F85" s="7">
        <f t="shared" si="52"/>
        <v>0</v>
      </c>
      <c r="G85" s="2"/>
      <c r="H85" s="6">
        <v>250</v>
      </c>
      <c r="I85" s="2"/>
      <c r="J85" s="7">
        <f t="shared" si="53"/>
        <v>4.3441996246611526E-3</v>
      </c>
      <c r="K85" s="2"/>
      <c r="L85" s="6">
        <f t="shared" si="54"/>
        <v>-250</v>
      </c>
      <c r="M85" s="2"/>
      <c r="N85" s="7">
        <f t="shared" si="55"/>
        <v>-1</v>
      </c>
      <c r="O85" s="11"/>
      <c r="P85" s="6"/>
      <c r="Q85" s="2"/>
      <c r="R85" s="7">
        <f t="shared" si="56"/>
        <v>0</v>
      </c>
      <c r="S85" s="2"/>
      <c r="T85" s="6">
        <v>750</v>
      </c>
      <c r="U85" s="2"/>
      <c r="V85" s="7">
        <f t="shared" si="57"/>
        <v>1.1352799600381455E-2</v>
      </c>
      <c r="W85" s="2"/>
      <c r="X85" s="6">
        <f t="shared" si="58"/>
        <v>-750</v>
      </c>
      <c r="Y85" s="2"/>
      <c r="Z85" s="7">
        <f t="shared" si="59"/>
        <v>-1</v>
      </c>
    </row>
    <row r="86" spans="1:26" s="24" customFormat="1" hidden="1" outlineLevel="2" x14ac:dyDescent="0.3">
      <c r="A86" s="27"/>
      <c r="B86" s="11" t="str">
        <f>CONCATENATE("          ", "6237", " - ", "JANITORIAL SUPPLIES")</f>
        <v xml:space="preserve">          6237 - JANITORIAL SUPPLIES</v>
      </c>
      <c r="C86" s="11"/>
      <c r="D86" s="6">
        <v>1453.2</v>
      </c>
      <c r="E86" s="2"/>
      <c r="F86" s="7">
        <f t="shared" si="52"/>
        <v>2.4653946438232554E-2</v>
      </c>
      <c r="G86" s="2"/>
      <c r="H86" s="6">
        <v>844</v>
      </c>
      <c r="I86" s="2"/>
      <c r="J86" s="7">
        <f t="shared" si="53"/>
        <v>1.4666017932856051E-2</v>
      </c>
      <c r="K86" s="2"/>
      <c r="L86" s="6">
        <f t="shared" si="54"/>
        <v>609.20000000000005</v>
      </c>
      <c r="M86" s="2"/>
      <c r="N86" s="7">
        <f t="shared" si="55"/>
        <v>0.72180094786729865</v>
      </c>
      <c r="O86" s="11"/>
      <c r="P86" s="6">
        <v>2455.37</v>
      </c>
      <c r="Q86" s="2"/>
      <c r="R86" s="7">
        <f t="shared" si="56"/>
        <v>3.1220445178420524E-2</v>
      </c>
      <c r="S86" s="2"/>
      <c r="T86" s="6">
        <v>1617</v>
      </c>
      <c r="U86" s="2"/>
      <c r="V86" s="7">
        <f t="shared" si="57"/>
        <v>2.4476635938422416E-2</v>
      </c>
      <c r="W86" s="2"/>
      <c r="X86" s="6">
        <f t="shared" si="58"/>
        <v>838.36999999999989</v>
      </c>
      <c r="Y86" s="2"/>
      <c r="Z86" s="7">
        <f t="shared" si="59"/>
        <v>0.51847247990105128</v>
      </c>
    </row>
    <row r="87" spans="1:26" s="24" customFormat="1" hidden="1" outlineLevel="2" x14ac:dyDescent="0.3">
      <c r="A87" s="27"/>
      <c r="B87" s="11" t="str">
        <f>CONCATENATE("          ", "6239", " - ", "KITCHEN SUPPLIES")</f>
        <v xml:space="preserve">          6239 - KITCHEN SUPPLIES</v>
      </c>
      <c r="C87" s="11"/>
      <c r="D87" s="6">
        <v>218.6</v>
      </c>
      <c r="E87" s="2"/>
      <c r="F87" s="7">
        <f t="shared" si="52"/>
        <v>3.7086104399928679E-3</v>
      </c>
      <c r="G87" s="2"/>
      <c r="H87" s="6">
        <v>73</v>
      </c>
      <c r="I87" s="2"/>
      <c r="J87" s="7">
        <f t="shared" si="53"/>
        <v>1.2685062904010565E-3</v>
      </c>
      <c r="K87" s="2"/>
      <c r="L87" s="6">
        <f t="shared" si="54"/>
        <v>145.6</v>
      </c>
      <c r="M87" s="2"/>
      <c r="N87" s="7">
        <f t="shared" si="55"/>
        <v>1.9945205479452055</v>
      </c>
      <c r="O87" s="11"/>
      <c r="P87" s="6">
        <v>250.63</v>
      </c>
      <c r="Q87" s="2"/>
      <c r="R87" s="7">
        <f t="shared" si="56"/>
        <v>3.1868028749506331E-3</v>
      </c>
      <c r="S87" s="2"/>
      <c r="T87" s="6">
        <v>5236</v>
      </c>
      <c r="U87" s="2"/>
      <c r="V87" s="7">
        <f t="shared" si="57"/>
        <v>7.9257678276796389E-2</v>
      </c>
      <c r="W87" s="2"/>
      <c r="X87" s="6">
        <f t="shared" si="58"/>
        <v>-4985.37</v>
      </c>
      <c r="Y87" s="2"/>
      <c r="Z87" s="7">
        <f t="shared" si="59"/>
        <v>-0.95213330786860195</v>
      </c>
    </row>
    <row r="88" spans="1:26" s="24" customFormat="1" hidden="1" outlineLevel="2" x14ac:dyDescent="0.3">
      <c r="A88" s="27"/>
      <c r="B88" s="11" t="str">
        <f>CONCATENATE("          ", "6241", " - ", "OFFICE EXPENSE")</f>
        <v xml:space="preserve">          6241 - OFFICE EXPENSE</v>
      </c>
      <c r="C88" s="11"/>
      <c r="D88" s="6">
        <v>1358.93</v>
      </c>
      <c r="E88" s="2"/>
      <c r="F88" s="7">
        <f t="shared" si="52"/>
        <v>2.3054629392586956E-2</v>
      </c>
      <c r="G88" s="2"/>
      <c r="H88" s="6">
        <v>2550</v>
      </c>
      <c r="I88" s="2"/>
      <c r="J88" s="7">
        <f t="shared" si="53"/>
        <v>4.4310836171543758E-2</v>
      </c>
      <c r="K88" s="2"/>
      <c r="L88" s="6">
        <f t="shared" si="54"/>
        <v>-1191.07</v>
      </c>
      <c r="M88" s="2"/>
      <c r="N88" s="7">
        <f t="shared" si="55"/>
        <v>-0.46708627450980389</v>
      </c>
      <c r="O88" s="11"/>
      <c r="P88" s="6">
        <v>2002</v>
      </c>
      <c r="Q88" s="2"/>
      <c r="R88" s="7">
        <f t="shared" si="56"/>
        <v>2.5455768885014437E-2</v>
      </c>
      <c r="S88" s="2"/>
      <c r="T88" s="6">
        <v>2594</v>
      </c>
      <c r="U88" s="2"/>
      <c r="V88" s="7">
        <f t="shared" si="57"/>
        <v>3.9265549551185989E-2</v>
      </c>
      <c r="W88" s="2"/>
      <c r="X88" s="6">
        <f t="shared" si="58"/>
        <v>-592</v>
      </c>
      <c r="Y88" s="2"/>
      <c r="Z88" s="7">
        <f t="shared" si="59"/>
        <v>-0.228218966846569</v>
      </c>
    </row>
    <row r="89" spans="1:26" s="24" customFormat="1" hidden="1" outlineLevel="2" x14ac:dyDescent="0.3">
      <c r="A89" s="27"/>
      <c r="B89" s="11" t="str">
        <f>CONCATENATE("          ", "6243", " - ", "PAPER SUPPLIES")</f>
        <v xml:space="preserve">          6243 - PAPER SUPPLIES</v>
      </c>
      <c r="C89" s="11"/>
      <c r="D89" s="6">
        <v>320.85000000000002</v>
      </c>
      <c r="E89" s="2"/>
      <c r="F89" s="7">
        <f t="shared" si="52"/>
        <v>5.4433104285073735E-3</v>
      </c>
      <c r="G89" s="2"/>
      <c r="H89" s="6">
        <v>1501</v>
      </c>
      <c r="I89" s="2"/>
      <c r="J89" s="7">
        <f t="shared" si="53"/>
        <v>2.6082574546465558E-2</v>
      </c>
      <c r="K89" s="2"/>
      <c r="L89" s="6">
        <f t="shared" si="54"/>
        <v>-1180.1500000000001</v>
      </c>
      <c r="M89" s="2"/>
      <c r="N89" s="7">
        <f t="shared" si="55"/>
        <v>-0.78624250499666892</v>
      </c>
      <c r="O89" s="11"/>
      <c r="P89" s="6">
        <v>486.23</v>
      </c>
      <c r="Q89" s="2"/>
      <c r="R89" s="7">
        <f t="shared" si="56"/>
        <v>6.1824967557245602E-3</v>
      </c>
      <c r="S89" s="2"/>
      <c r="T89" s="6">
        <v>2010</v>
      </c>
      <c r="U89" s="2"/>
      <c r="V89" s="7">
        <f t="shared" si="57"/>
        <v>3.0425502929022297E-2</v>
      </c>
      <c r="W89" s="2"/>
      <c r="X89" s="6">
        <f t="shared" si="58"/>
        <v>-1523.77</v>
      </c>
      <c r="Y89" s="2"/>
      <c r="Z89" s="7">
        <f t="shared" si="59"/>
        <v>-0.75809452736318406</v>
      </c>
    </row>
    <row r="90" spans="1:26" s="24" customFormat="1" hidden="1" outlineLevel="2" x14ac:dyDescent="0.3">
      <c r="A90" s="27"/>
      <c r="B90" s="11" t="str">
        <f>CONCATENATE("          ", "6244", " - ", "SAFETY SUPPLY EXPENSE")</f>
        <v xml:space="preserve">          6244 - SAFETY SUPPLY EXPENSE</v>
      </c>
      <c r="C90" s="11"/>
      <c r="D90" s="6"/>
      <c r="E90" s="2"/>
      <c r="F90" s="7">
        <f t="shared" si="52"/>
        <v>0</v>
      </c>
      <c r="G90" s="2"/>
      <c r="H90" s="6"/>
      <c r="I90" s="2"/>
      <c r="J90" s="7">
        <f t="shared" si="53"/>
        <v>0</v>
      </c>
      <c r="K90" s="2"/>
      <c r="L90" s="6">
        <f t="shared" si="54"/>
        <v>0</v>
      </c>
      <c r="M90" s="2"/>
      <c r="N90" s="7">
        <f t="shared" si="55"/>
        <v>0</v>
      </c>
      <c r="O90" s="11"/>
      <c r="P90" s="6"/>
      <c r="Q90" s="2"/>
      <c r="R90" s="7">
        <f t="shared" si="56"/>
        <v>0</v>
      </c>
      <c r="S90" s="2"/>
      <c r="T90" s="6">
        <v>50</v>
      </c>
      <c r="U90" s="2"/>
      <c r="V90" s="7">
        <f t="shared" si="57"/>
        <v>7.5685330669209689E-4</v>
      </c>
      <c r="W90" s="2"/>
      <c r="X90" s="6">
        <f t="shared" si="58"/>
        <v>-50</v>
      </c>
      <c r="Y90" s="2"/>
      <c r="Z90" s="7">
        <f t="shared" si="59"/>
        <v>-1</v>
      </c>
    </row>
    <row r="91" spans="1:26" s="24" customFormat="1" hidden="1" outlineLevel="2" x14ac:dyDescent="0.3">
      <c r="A91" s="27"/>
      <c r="B91" s="11" t="str">
        <f>CONCATENATE("          ", "6245", " - ", "PRINTING")</f>
        <v xml:space="preserve">          6245 - PRINTING</v>
      </c>
      <c r="C91" s="11"/>
      <c r="D91" s="6"/>
      <c r="E91" s="2"/>
      <c r="F91" s="7">
        <f t="shared" si="52"/>
        <v>0</v>
      </c>
      <c r="G91" s="2"/>
      <c r="H91" s="6">
        <v>300</v>
      </c>
      <c r="I91" s="2"/>
      <c r="J91" s="7">
        <f t="shared" si="53"/>
        <v>5.213039549593383E-3</v>
      </c>
      <c r="K91" s="2"/>
      <c r="L91" s="6">
        <f t="shared" si="54"/>
        <v>-300</v>
      </c>
      <c r="M91" s="2"/>
      <c r="N91" s="7">
        <f t="shared" si="55"/>
        <v>-1</v>
      </c>
      <c r="O91" s="11"/>
      <c r="P91" s="6"/>
      <c r="Q91" s="2"/>
      <c r="R91" s="7">
        <f t="shared" si="56"/>
        <v>0</v>
      </c>
      <c r="S91" s="2"/>
      <c r="T91" s="6">
        <v>700</v>
      </c>
      <c r="U91" s="2"/>
      <c r="V91" s="7">
        <f t="shared" si="57"/>
        <v>1.0595946293689358E-2</v>
      </c>
      <c r="W91" s="2"/>
      <c r="X91" s="6">
        <f t="shared" si="58"/>
        <v>-700</v>
      </c>
      <c r="Y91" s="2"/>
      <c r="Z91" s="7">
        <f t="shared" si="59"/>
        <v>-1</v>
      </c>
    </row>
    <row r="92" spans="1:26" s="24" customFormat="1" hidden="1" outlineLevel="2" x14ac:dyDescent="0.3">
      <c r="A92" s="27"/>
      <c r="B92" s="11" t="str">
        <f>CONCATENATE("          ", "6247", " - ", "STORE SUPPLIES")</f>
        <v xml:space="preserve">          6247 - STORE SUPPLIES</v>
      </c>
      <c r="C92" s="11"/>
      <c r="D92" s="6">
        <v>500</v>
      </c>
      <c r="E92" s="2"/>
      <c r="F92" s="7">
        <f t="shared" si="52"/>
        <v>8.4826405306332748E-3</v>
      </c>
      <c r="G92" s="2"/>
      <c r="H92" s="6">
        <v>2411</v>
      </c>
      <c r="I92" s="2"/>
      <c r="J92" s="7">
        <f t="shared" si="53"/>
        <v>4.1895461180232157E-2</v>
      </c>
      <c r="K92" s="2"/>
      <c r="L92" s="6">
        <f t="shared" si="54"/>
        <v>-1911</v>
      </c>
      <c r="M92" s="2"/>
      <c r="N92" s="7">
        <f t="shared" si="55"/>
        <v>-0.79261717129821652</v>
      </c>
      <c r="O92" s="11"/>
      <c r="P92" s="6">
        <v>500</v>
      </c>
      <c r="Q92" s="2"/>
      <c r="R92" s="7">
        <f t="shared" si="56"/>
        <v>6.3575846366169921E-3</v>
      </c>
      <c r="S92" s="2"/>
      <c r="T92" s="6">
        <v>2411</v>
      </c>
      <c r="U92" s="2"/>
      <c r="V92" s="7">
        <f t="shared" si="57"/>
        <v>3.6495466448692913E-2</v>
      </c>
      <c r="W92" s="2"/>
      <c r="X92" s="6">
        <f t="shared" si="58"/>
        <v>-1911</v>
      </c>
      <c r="Y92" s="2"/>
      <c r="Z92" s="7">
        <f t="shared" si="59"/>
        <v>-0.79261717129821652</v>
      </c>
    </row>
    <row r="93" spans="1:26" s="24" customFormat="1" hidden="1" outlineLevel="2" x14ac:dyDescent="0.3">
      <c r="A93" s="27"/>
      <c r="B93" s="11" t="str">
        <f>CONCATENATE("          ", "6248", " - ", "UNIFORMS")</f>
        <v xml:space="preserve">          6248 - UNIFORMS</v>
      </c>
      <c r="C93" s="11"/>
      <c r="D93" s="6"/>
      <c r="E93" s="2"/>
      <c r="F93" s="7">
        <f t="shared" si="52"/>
        <v>0</v>
      </c>
      <c r="G93" s="2"/>
      <c r="H93" s="6">
        <v>1000</v>
      </c>
      <c r="I93" s="2"/>
      <c r="J93" s="7">
        <f t="shared" si="53"/>
        <v>1.7376798498644611E-2</v>
      </c>
      <c r="K93" s="2"/>
      <c r="L93" s="6">
        <f t="shared" si="54"/>
        <v>-1000</v>
      </c>
      <c r="M93" s="2"/>
      <c r="N93" s="7">
        <f t="shared" si="55"/>
        <v>-1</v>
      </c>
      <c r="O93" s="11"/>
      <c r="P93" s="6"/>
      <c r="Q93" s="2"/>
      <c r="R93" s="7">
        <f t="shared" si="56"/>
        <v>0</v>
      </c>
      <c r="S93" s="2"/>
      <c r="T93" s="6">
        <v>2600</v>
      </c>
      <c r="U93" s="2"/>
      <c r="V93" s="7">
        <f t="shared" si="57"/>
        <v>3.9356371947989043E-2</v>
      </c>
      <c r="W93" s="2"/>
      <c r="X93" s="6">
        <f t="shared" si="58"/>
        <v>-2600</v>
      </c>
      <c r="Y93" s="2"/>
      <c r="Z93" s="7">
        <f t="shared" si="59"/>
        <v>-1</v>
      </c>
    </row>
    <row r="94" spans="1:26" s="28" customFormat="1" outlineLevel="1" collapsed="1" x14ac:dyDescent="0.3">
      <c r="A94" s="29"/>
      <c r="B94" s="14" t="str">
        <f>CONCATENATE("     ","Telephone/Data Lines                              ")</f>
        <v xml:space="preserve">     Telephone/Data Lines                              </v>
      </c>
      <c r="C94" s="14"/>
      <c r="D94" s="1">
        <f>SUM(OSRRefD22_17x_0)</f>
        <v>873.15</v>
      </c>
      <c r="E94" s="1"/>
      <c r="F94" s="5">
        <f t="shared" ref="F94:F96" si="60">IF(D$12=0,0,D94/D$12)</f>
        <v>1.4813235158644888E-2</v>
      </c>
      <c r="G94" s="1"/>
      <c r="H94" s="1">
        <f>SUM(OSRRefH22_17x_0)</f>
        <v>538</v>
      </c>
      <c r="I94" s="1"/>
      <c r="J94" s="5">
        <f t="shared" ref="J94:J96" si="61">IF(H$12=0,0,H94/H$12)</f>
        <v>9.3487175922707996E-3</v>
      </c>
      <c r="K94" s="1"/>
      <c r="L94" s="1">
        <f t="shared" ref="L94:L96" si="62">+D94-H94</f>
        <v>335.15</v>
      </c>
      <c r="M94" s="1"/>
      <c r="N94" s="5">
        <f t="shared" ref="N94:N96" si="63">IF(H94=0,0,L94/H94)</f>
        <v>0.62295539033457248</v>
      </c>
      <c r="O94" s="14"/>
      <c r="P94" s="1">
        <f>SUM(OSRRefP22_17x_0)</f>
        <v>1515.5</v>
      </c>
      <c r="Q94" s="1"/>
      <c r="R94" s="5">
        <f t="shared" ref="R94:R96" si="64">IF(P$12=0,0,P94/P$12)</f>
        <v>1.9269839033586103E-2</v>
      </c>
      <c r="S94" s="1"/>
      <c r="T94" s="1">
        <f>SUM(OSRRefT22_17x_0)</f>
        <v>1226</v>
      </c>
      <c r="U94" s="1"/>
      <c r="V94" s="5">
        <f t="shared" ref="V94:V96" si="65">IF(T$12=0,0,T94/T$12)</f>
        <v>1.8558043080090215E-2</v>
      </c>
      <c r="W94" s="1"/>
      <c r="X94" s="1">
        <f t="shared" ref="X94:X96" si="66">+P94-T94</f>
        <v>289.5</v>
      </c>
      <c r="Y94" s="1"/>
      <c r="Z94" s="5">
        <f t="shared" ref="Z94:Z96" si="67">IF(T94=0,0,X94/T94)</f>
        <v>0.23613376835236541</v>
      </c>
    </row>
    <row r="95" spans="1:26" s="24" customFormat="1" hidden="1" outlineLevel="2" x14ac:dyDescent="0.3">
      <c r="A95" s="27"/>
      <c r="B95" s="11" t="str">
        <f>CONCATENATE("          ", "6303", " - ", "DATA PHONE LINES")</f>
        <v xml:space="preserve">          6303 - DATA PHONE LINES</v>
      </c>
      <c r="C95" s="11"/>
      <c r="D95" s="6"/>
      <c r="E95" s="2"/>
      <c r="F95" s="7">
        <f t="shared" si="60"/>
        <v>0</v>
      </c>
      <c r="G95" s="2"/>
      <c r="H95" s="6">
        <v>185</v>
      </c>
      <c r="I95" s="2"/>
      <c r="J95" s="7">
        <f t="shared" si="61"/>
        <v>3.2147077222492528E-3</v>
      </c>
      <c r="K95" s="2"/>
      <c r="L95" s="6">
        <f t="shared" si="62"/>
        <v>-185</v>
      </c>
      <c r="M95" s="2"/>
      <c r="N95" s="7">
        <f t="shared" si="63"/>
        <v>-1</v>
      </c>
      <c r="O95" s="11"/>
      <c r="P95" s="6"/>
      <c r="Q95" s="2"/>
      <c r="R95" s="7">
        <f t="shared" si="64"/>
        <v>0</v>
      </c>
      <c r="S95" s="2"/>
      <c r="T95" s="6">
        <v>370</v>
      </c>
      <c r="U95" s="2"/>
      <c r="V95" s="7">
        <f t="shared" si="65"/>
        <v>5.6007144695215177E-3</v>
      </c>
      <c r="W95" s="2"/>
      <c r="X95" s="6">
        <f t="shared" si="66"/>
        <v>-370</v>
      </c>
      <c r="Y95" s="2"/>
      <c r="Z95" s="7">
        <f t="shared" si="67"/>
        <v>-1</v>
      </c>
    </row>
    <row r="96" spans="1:26" s="24" customFormat="1" hidden="1" outlineLevel="2" x14ac:dyDescent="0.3">
      <c r="A96" s="27"/>
      <c r="B96" s="11" t="str">
        <f>CONCATENATE("          ", "6309", " - ", "TELEPHONE")</f>
        <v xml:space="preserve">          6309 - TELEPHONE</v>
      </c>
      <c r="C96" s="11"/>
      <c r="D96" s="6">
        <v>873.15</v>
      </c>
      <c r="E96" s="2"/>
      <c r="F96" s="7">
        <f t="shared" si="60"/>
        <v>1.4813235158644888E-2</v>
      </c>
      <c r="G96" s="2"/>
      <c r="H96" s="6">
        <v>353</v>
      </c>
      <c r="I96" s="2"/>
      <c r="J96" s="7">
        <f t="shared" si="61"/>
        <v>6.1340098700215472E-3</v>
      </c>
      <c r="K96" s="2"/>
      <c r="L96" s="6">
        <f t="shared" si="62"/>
        <v>520.15</v>
      </c>
      <c r="M96" s="2"/>
      <c r="N96" s="7">
        <f t="shared" si="63"/>
        <v>1.473512747875354</v>
      </c>
      <c r="O96" s="11"/>
      <c r="P96" s="6">
        <v>1515.5</v>
      </c>
      <c r="Q96" s="2"/>
      <c r="R96" s="7">
        <f t="shared" si="64"/>
        <v>1.9269839033586103E-2</v>
      </c>
      <c r="S96" s="2"/>
      <c r="T96" s="6">
        <v>856</v>
      </c>
      <c r="U96" s="2"/>
      <c r="V96" s="7">
        <f t="shared" si="65"/>
        <v>1.29573286105687E-2</v>
      </c>
      <c r="W96" s="2"/>
      <c r="X96" s="6">
        <f t="shared" si="66"/>
        <v>659.5</v>
      </c>
      <c r="Y96" s="2"/>
      <c r="Z96" s="7">
        <f t="shared" si="67"/>
        <v>0.77044392523364491</v>
      </c>
    </row>
    <row r="97" spans="1:26" s="28" customFormat="1" outlineLevel="1" collapsed="1" x14ac:dyDescent="0.3">
      <c r="A97" s="29"/>
      <c r="B97" s="14" t="str">
        <f>CONCATENATE("     ","Training                                          ")</f>
        <v xml:space="preserve">     Training                                          </v>
      </c>
      <c r="C97" s="14"/>
      <c r="D97" s="1">
        <f>SUM(OSRRefD22_18x_0)</f>
        <v>0</v>
      </c>
      <c r="E97" s="1"/>
      <c r="F97" s="5">
        <f t="shared" ref="F97:F100" si="68">IF(D$12=0,0,D97/D$12)</f>
        <v>0</v>
      </c>
      <c r="G97" s="1"/>
      <c r="H97" s="1">
        <f>SUM(OSRRefH22_18x_0)</f>
        <v>355</v>
      </c>
      <c r="I97" s="1"/>
      <c r="J97" s="5">
        <f t="shared" ref="J97:J100" si="69">IF(H$12=0,0,H97/H$12)</f>
        <v>6.1687634670188366E-3</v>
      </c>
      <c r="K97" s="1"/>
      <c r="L97" s="1">
        <f t="shared" ref="L97:L100" si="70">+D97-H97</f>
        <v>-355</v>
      </c>
      <c r="M97" s="1"/>
      <c r="N97" s="5">
        <f t="shared" ref="N97:N100" si="71">IF(H97=0,0,L97/H97)</f>
        <v>-1</v>
      </c>
      <c r="O97" s="14"/>
      <c r="P97" s="1">
        <f>SUM(OSRRefP22_18x_0)</f>
        <v>0</v>
      </c>
      <c r="Q97" s="1"/>
      <c r="R97" s="5">
        <f t="shared" ref="R97:R100" si="72">IF(P$12=0,0,P97/P$12)</f>
        <v>0</v>
      </c>
      <c r="S97" s="1"/>
      <c r="T97" s="1">
        <f>SUM(OSRRefT22_18x_0)</f>
        <v>675</v>
      </c>
      <c r="U97" s="1"/>
      <c r="V97" s="5">
        <f t="shared" ref="V97:V100" si="73">IF(T$12=0,0,T97/T$12)</f>
        <v>1.0217519640343309E-2</v>
      </c>
      <c r="W97" s="1"/>
      <c r="X97" s="1">
        <f t="shared" ref="X97:X100" si="74">+P97-T97</f>
        <v>-675</v>
      </c>
      <c r="Y97" s="1"/>
      <c r="Z97" s="5">
        <f t="shared" ref="Z97:Z100" si="75">IF(T97=0,0,X97/T97)</f>
        <v>-1</v>
      </c>
    </row>
    <row r="98" spans="1:26" s="24" customFormat="1" hidden="1" outlineLevel="2" x14ac:dyDescent="0.3">
      <c r="A98" s="27"/>
      <c r="B98" s="11" t="str">
        <f>CONCATENATE("          ", "6376", " - ", "TRAINING")</f>
        <v xml:space="preserve">          6376 - TRAINING</v>
      </c>
      <c r="C98" s="11"/>
      <c r="D98" s="6"/>
      <c r="E98" s="2"/>
      <c r="F98" s="7">
        <f t="shared" si="68"/>
        <v>0</v>
      </c>
      <c r="G98" s="2"/>
      <c r="H98" s="6">
        <v>355</v>
      </c>
      <c r="I98" s="2"/>
      <c r="J98" s="7">
        <f t="shared" si="69"/>
        <v>6.1687634670188366E-3</v>
      </c>
      <c r="K98" s="2"/>
      <c r="L98" s="6">
        <f t="shared" si="70"/>
        <v>-355</v>
      </c>
      <c r="M98" s="2"/>
      <c r="N98" s="7">
        <f t="shared" si="71"/>
        <v>-1</v>
      </c>
      <c r="O98" s="11"/>
      <c r="P98" s="6"/>
      <c r="Q98" s="2"/>
      <c r="R98" s="7">
        <f t="shared" si="72"/>
        <v>0</v>
      </c>
      <c r="S98" s="2"/>
      <c r="T98" s="6">
        <v>675</v>
      </c>
      <c r="U98" s="2"/>
      <c r="V98" s="7">
        <f t="shared" si="73"/>
        <v>1.0217519640343309E-2</v>
      </c>
      <c r="W98" s="2"/>
      <c r="X98" s="6">
        <f t="shared" si="74"/>
        <v>-675</v>
      </c>
      <c r="Y98" s="2"/>
      <c r="Z98" s="7">
        <f t="shared" si="75"/>
        <v>-1</v>
      </c>
    </row>
    <row r="99" spans="1:26" s="28" customFormat="1" outlineLevel="1" collapsed="1" x14ac:dyDescent="0.3">
      <c r="A99" s="29"/>
      <c r="B99" s="14" t="str">
        <f>CONCATENATE("     ","Utilities                                         ")</f>
        <v xml:space="preserve">     Utilities                                         </v>
      </c>
      <c r="C99" s="14"/>
      <c r="D99" s="1">
        <f>SUM(OSRRefD22_19x_0)</f>
        <v>8250</v>
      </c>
      <c r="E99" s="1"/>
      <c r="F99" s="5">
        <f t="shared" si="68"/>
        <v>0.13996356875544905</v>
      </c>
      <c r="G99" s="1"/>
      <c r="H99" s="1">
        <f>SUM(OSRRefH22_19x_0)</f>
        <v>8667</v>
      </c>
      <c r="I99" s="1"/>
      <c r="J99" s="5">
        <f t="shared" si="69"/>
        <v>0.15060471258775282</v>
      </c>
      <c r="K99" s="1"/>
      <c r="L99" s="1">
        <f t="shared" si="70"/>
        <v>-417</v>
      </c>
      <c r="M99" s="1"/>
      <c r="N99" s="5">
        <f t="shared" si="71"/>
        <v>-4.8113534094842508E-2</v>
      </c>
      <c r="O99" s="14"/>
      <c r="P99" s="1">
        <f>SUM(OSRRefP22_19x_0)</f>
        <v>16500</v>
      </c>
      <c r="Q99" s="1"/>
      <c r="R99" s="5">
        <f t="shared" si="72"/>
        <v>0.20980029300836073</v>
      </c>
      <c r="S99" s="1"/>
      <c r="T99" s="1">
        <f>SUM(OSRRefT22_19x_0)</f>
        <v>17334</v>
      </c>
      <c r="U99" s="1"/>
      <c r="V99" s="5">
        <f t="shared" si="73"/>
        <v>0.26238590436401615</v>
      </c>
      <c r="W99" s="1"/>
      <c r="X99" s="1">
        <f t="shared" si="74"/>
        <v>-834</v>
      </c>
      <c r="Y99" s="1"/>
      <c r="Z99" s="5">
        <f t="shared" si="75"/>
        <v>-4.8113534094842508E-2</v>
      </c>
    </row>
    <row r="100" spans="1:26" s="24" customFormat="1" hidden="1" outlineLevel="2" x14ac:dyDescent="0.3">
      <c r="A100" s="27"/>
      <c r="B100" s="11" t="str">
        <f>CONCATENATE("          ", "6274", " - ", "UTILITIES")</f>
        <v xml:space="preserve">          6274 - UTILITIES</v>
      </c>
      <c r="C100" s="11"/>
      <c r="D100" s="6">
        <v>8250</v>
      </c>
      <c r="E100" s="2"/>
      <c r="F100" s="7">
        <f t="shared" si="68"/>
        <v>0.13996356875544905</v>
      </c>
      <c r="G100" s="2"/>
      <c r="H100" s="6">
        <v>8667</v>
      </c>
      <c r="I100" s="2"/>
      <c r="J100" s="7">
        <f t="shared" si="69"/>
        <v>0.15060471258775282</v>
      </c>
      <c r="K100" s="2"/>
      <c r="L100" s="6">
        <f t="shared" si="70"/>
        <v>-417</v>
      </c>
      <c r="M100" s="2"/>
      <c r="N100" s="7">
        <f t="shared" si="71"/>
        <v>-4.8113534094842508E-2</v>
      </c>
      <c r="O100" s="11"/>
      <c r="P100" s="6">
        <v>16500</v>
      </c>
      <c r="Q100" s="2"/>
      <c r="R100" s="7">
        <f t="shared" si="72"/>
        <v>0.20980029300836073</v>
      </c>
      <c r="S100" s="2"/>
      <c r="T100" s="6">
        <v>17334</v>
      </c>
      <c r="U100" s="2"/>
      <c r="V100" s="7">
        <f t="shared" si="73"/>
        <v>0.26238590436401615</v>
      </c>
      <c r="W100" s="2"/>
      <c r="X100" s="6">
        <f t="shared" si="74"/>
        <v>-834</v>
      </c>
      <c r="Y100" s="2"/>
      <c r="Z100" s="7">
        <f t="shared" si="75"/>
        <v>-4.8113534094842508E-2</v>
      </c>
    </row>
    <row r="101" spans="1:26" s="53" customFormat="1" x14ac:dyDescent="0.3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3">
      <c r="A102" s="10"/>
      <c r="B102" s="25" t="s">
        <v>293</v>
      </c>
      <c r="C102" s="10"/>
      <c r="D102" s="4">
        <f>SUM(OSRRefD25x_0)</f>
        <v>11546.83</v>
      </c>
      <c r="E102" s="4"/>
      <c r="F102" s="12">
        <f t="shared" ref="F102:F105" si="76">IF(D$12=0,0,D102/D$12)</f>
        <v>0.19589521631666446</v>
      </c>
      <c r="G102" s="4"/>
      <c r="H102" s="4">
        <f>SUM(OSRRefH25x_0)</f>
        <v>0</v>
      </c>
      <c r="I102" s="4"/>
      <c r="J102" s="12">
        <f t="shared" ref="J102:J105" si="77">IF(H$12=0,0,H102/H$12)</f>
        <v>0</v>
      </c>
      <c r="K102" s="4"/>
      <c r="L102" s="4">
        <f t="shared" ref="L102:L105" si="78">+D102-H102</f>
        <v>11546.83</v>
      </c>
      <c r="M102" s="4"/>
      <c r="N102" s="12">
        <f t="shared" ref="N102:N105" si="79">IF(H102=0,0,L102/H102)</f>
        <v>0</v>
      </c>
      <c r="O102" s="10"/>
      <c r="P102" s="4">
        <f>SUM(OSRRefP25x_0)</f>
        <v>14202.250000000002</v>
      </c>
      <c r="Q102" s="4"/>
      <c r="R102" s="12">
        <f t="shared" ref="R102:R105" si="80">IF(P$12=0,0,P102/P$12)</f>
        <v>0.18058401281078737</v>
      </c>
      <c r="S102" s="4"/>
      <c r="T102" s="4">
        <f>SUM(OSRRefT25x_0)</f>
        <v>0</v>
      </c>
      <c r="U102" s="4"/>
      <c r="V102" s="12">
        <f t="shared" ref="V102:V105" si="81">IF(T$12=0,0,T102/T$12)</f>
        <v>0</v>
      </c>
      <c r="W102" s="4"/>
      <c r="X102" s="4">
        <f t="shared" ref="X102:X105" si="82">+P102-T102</f>
        <v>14202.250000000002</v>
      </c>
      <c r="Y102" s="4"/>
      <c r="Z102" s="12">
        <f t="shared" ref="Z102:Z105" si="83">IF(T102=0,0,X102/T102)</f>
        <v>0</v>
      </c>
    </row>
    <row r="103" spans="1:26" s="24" customFormat="1" hidden="1" outlineLevel="1" x14ac:dyDescent="0.3">
      <c r="A103" s="44"/>
      <c r="B103" s="11" t="str">
        <f>CONCATENATE("          ", "9150", " - ", "MISC. INCOME")</f>
        <v xml:space="preserve">          9150 - MISC. INCOME</v>
      </c>
      <c r="C103" s="11"/>
      <c r="D103" s="2">
        <f>--1041.32</f>
        <v>1041.32</v>
      </c>
      <c r="E103" s="2"/>
      <c r="F103" s="19">
        <f t="shared" si="76"/>
        <v>1.7666286474718084E-2</v>
      </c>
      <c r="G103" s="2"/>
      <c r="H103" s="2"/>
      <c r="I103" s="2"/>
      <c r="J103" s="19">
        <f t="shared" si="77"/>
        <v>0</v>
      </c>
      <c r="K103" s="2"/>
      <c r="L103" s="2">
        <f t="shared" si="78"/>
        <v>1041.32</v>
      </c>
      <c r="M103" s="2"/>
      <c r="N103" s="19">
        <f t="shared" si="79"/>
        <v>0</v>
      </c>
      <c r="O103" s="11"/>
      <c r="P103" s="2">
        <f>--2458.62</f>
        <v>2458.62</v>
      </c>
      <c r="Q103" s="2"/>
      <c r="R103" s="19">
        <f t="shared" si="80"/>
        <v>3.1261769478558535E-2</v>
      </c>
      <c r="S103" s="2"/>
      <c r="T103" s="2"/>
      <c r="U103" s="2"/>
      <c r="V103" s="19">
        <f t="shared" si="81"/>
        <v>0</v>
      </c>
      <c r="W103" s="2"/>
      <c r="X103" s="2">
        <f t="shared" si="82"/>
        <v>2458.62</v>
      </c>
      <c r="Y103" s="2"/>
      <c r="Z103" s="19">
        <f t="shared" si="83"/>
        <v>0</v>
      </c>
    </row>
    <row r="104" spans="1:26" s="24" customFormat="1" hidden="1" outlineLevel="1" x14ac:dyDescent="0.3">
      <c r="A104" s="44"/>
      <c r="B104" s="11" t="str">
        <f>CONCATENATE("          ", "9160", " - ", "MISC. INCOME")</f>
        <v xml:space="preserve">          9160 - MISC. INCOME</v>
      </c>
      <c r="C104" s="11"/>
      <c r="D104" s="2">
        <f>--10000</f>
        <v>10000</v>
      </c>
      <c r="E104" s="2"/>
      <c r="F104" s="19">
        <f t="shared" si="76"/>
        <v>0.16965281061266552</v>
      </c>
      <c r="G104" s="2"/>
      <c r="H104" s="2"/>
      <c r="I104" s="2"/>
      <c r="J104" s="19">
        <f t="shared" si="77"/>
        <v>0</v>
      </c>
      <c r="K104" s="2"/>
      <c r="L104" s="2">
        <f t="shared" si="78"/>
        <v>10000</v>
      </c>
      <c r="M104" s="2"/>
      <c r="N104" s="19">
        <f t="shared" si="79"/>
        <v>0</v>
      </c>
      <c r="O104" s="11"/>
      <c r="P104" s="2">
        <f>--11238.12</f>
        <v>11238.12</v>
      </c>
      <c r="Q104" s="2"/>
      <c r="R104" s="19">
        <f t="shared" si="80"/>
        <v>0.1428945981129163</v>
      </c>
      <c r="S104" s="2"/>
      <c r="T104" s="2"/>
      <c r="U104" s="2"/>
      <c r="V104" s="19">
        <f t="shared" si="81"/>
        <v>0</v>
      </c>
      <c r="W104" s="2"/>
      <c r="X104" s="2">
        <f t="shared" si="82"/>
        <v>11238.12</v>
      </c>
      <c r="Y104" s="2"/>
      <c r="Z104" s="19">
        <f t="shared" si="83"/>
        <v>0</v>
      </c>
    </row>
    <row r="105" spans="1:26" s="24" customFormat="1" hidden="1" outlineLevel="1" x14ac:dyDescent="0.3">
      <c r="A105" s="44"/>
      <c r="B105" s="11" t="str">
        <f>CONCATENATE("          ", "9165", " - ", "OTHER INCOME")</f>
        <v xml:space="preserve">          9165 - OTHER INCOME</v>
      </c>
      <c r="C105" s="11"/>
      <c r="D105" s="2">
        <f>--505.51</f>
        <v>505.51</v>
      </c>
      <c r="E105" s="2"/>
      <c r="F105" s="19">
        <f t="shared" si="76"/>
        <v>8.5761192292808548E-3</v>
      </c>
      <c r="G105" s="2"/>
      <c r="H105" s="2"/>
      <c r="I105" s="2"/>
      <c r="J105" s="19">
        <f t="shared" si="77"/>
        <v>0</v>
      </c>
      <c r="K105" s="2"/>
      <c r="L105" s="2">
        <f t="shared" si="78"/>
        <v>505.51</v>
      </c>
      <c r="M105" s="2"/>
      <c r="N105" s="19">
        <f t="shared" si="79"/>
        <v>0</v>
      </c>
      <c r="O105" s="11"/>
      <c r="P105" s="2">
        <f>--505.51</f>
        <v>505.51</v>
      </c>
      <c r="Q105" s="2"/>
      <c r="R105" s="19">
        <f t="shared" si="80"/>
        <v>6.4276452193125109E-3</v>
      </c>
      <c r="S105" s="2"/>
      <c r="T105" s="2"/>
      <c r="U105" s="2"/>
      <c r="V105" s="19">
        <f t="shared" si="81"/>
        <v>0</v>
      </c>
      <c r="W105" s="2"/>
      <c r="X105" s="2">
        <f t="shared" si="82"/>
        <v>505.51</v>
      </c>
      <c r="Y105" s="2"/>
      <c r="Z105" s="19">
        <f t="shared" si="83"/>
        <v>0</v>
      </c>
    </row>
    <row r="106" spans="1:26" x14ac:dyDescent="0.3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3">
      <c r="A107" s="10"/>
      <c r="B107" s="26" t="s">
        <v>277</v>
      </c>
      <c r="C107" s="26"/>
      <c r="D107" s="21">
        <f>+D24-D26+D102</f>
        <v>-176293.35</v>
      </c>
      <c r="E107" s="13"/>
      <c r="F107" s="20">
        <f>IF(D$12=0,0,D107/D$12)</f>
        <v>-2.9908662319822357</v>
      </c>
      <c r="G107" s="13"/>
      <c r="H107" s="21">
        <f>+H24-H26+H102</f>
        <v>-167657.35008351071</v>
      </c>
      <c r="I107" s="13"/>
      <c r="J107" s="20">
        <f>IF(H$12=0,0,H107/H$12)</f>
        <v>-2.9133479892178826</v>
      </c>
      <c r="K107" s="16"/>
      <c r="L107" s="21">
        <f>+D107-H107</f>
        <v>-8635.9999164892943</v>
      </c>
      <c r="M107" s="16"/>
      <c r="N107" s="20">
        <f>IF(H107=0,0,L107/H107)</f>
        <v>5.150981995234729E-2</v>
      </c>
      <c r="O107" s="25"/>
      <c r="P107" s="21">
        <f>+P24-P26+P102</f>
        <v>-316776.02999999997</v>
      </c>
      <c r="Q107" s="13"/>
      <c r="R107" s="20">
        <f>IF(P$12=0,0,P107/P$12)</f>
        <v>-4.0278608431530465</v>
      </c>
      <c r="S107" s="13"/>
      <c r="T107" s="21">
        <f>+T24-T26+T102</f>
        <v>-348908.82026496663</v>
      </c>
      <c r="U107" s="13"/>
      <c r="V107" s="20">
        <f>IF(T$12=0,0,T107/T$12)</f>
        <v>-5.2814558870315702</v>
      </c>
      <c r="W107" s="16"/>
      <c r="X107" s="21">
        <f>+P107-T107</f>
        <v>32132.790264966665</v>
      </c>
      <c r="Y107" s="16"/>
      <c r="Z107" s="20">
        <f>IF(T107=0,0,X107/T107)</f>
        <v>-9.2095093040538603E-2</v>
      </c>
    </row>
    <row r="108" spans="1:26" x14ac:dyDescent="0.3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3">
      <c r="A109" s="52"/>
      <c r="B109" s="10" t="s">
        <v>128</v>
      </c>
      <c r="C109" s="10"/>
      <c r="D109" s="4">
        <v>2649.95</v>
      </c>
      <c r="E109" s="4"/>
      <c r="F109" s="12">
        <f>IF(D$12=0,0,D109/D$12)</f>
        <v>4.4957146548303295E-2</v>
      </c>
      <c r="G109" s="4"/>
      <c r="H109" s="4">
        <v>4315</v>
      </c>
      <c r="I109" s="4"/>
      <c r="J109" s="12">
        <f>IF(H$12=0,0,H109/H$12)</f>
        <v>7.4980885521651497E-2</v>
      </c>
      <c r="K109" s="4"/>
      <c r="L109" s="4">
        <f>+D109-H109</f>
        <v>-1665.0500000000002</v>
      </c>
      <c r="M109" s="4"/>
      <c r="N109" s="12">
        <f>IF(H109=0,0,L109/H109)</f>
        <v>-0.38587485515643111</v>
      </c>
      <c r="O109" s="10"/>
      <c r="P109" s="4">
        <v>11752.34</v>
      </c>
      <c r="Q109" s="4"/>
      <c r="R109" s="12">
        <f>IF(P$12=0,0,P109/P$12)</f>
        <v>0.14943299245659869</v>
      </c>
      <c r="S109" s="4"/>
      <c r="T109" s="4">
        <v>7398</v>
      </c>
      <c r="U109" s="4"/>
      <c r="V109" s="12">
        <f>IF(T$12=0,0,T109/T$12)</f>
        <v>0.11198401525816266</v>
      </c>
      <c r="W109" s="4"/>
      <c r="X109" s="4">
        <f>+P109-T109</f>
        <v>4354.34</v>
      </c>
      <c r="Y109" s="4"/>
      <c r="Z109" s="12">
        <f>IF(T109=0,0,X109/T109)</f>
        <v>0.58858340091916739</v>
      </c>
    </row>
    <row r="110" spans="1:26" x14ac:dyDescent="0.3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" thickBot="1" x14ac:dyDescent="0.35">
      <c r="A111" s="10"/>
      <c r="B111" s="26" t="s">
        <v>126</v>
      </c>
      <c r="C111" s="26"/>
      <c r="D111" s="30">
        <f>+D107-D109</f>
        <v>-178943.30000000002</v>
      </c>
      <c r="E111" s="13"/>
      <c r="F111" s="35">
        <f>IF(D$12=0,0,D111/D$12)</f>
        <v>-3.0358233785305391</v>
      </c>
      <c r="G111" s="13"/>
      <c r="H111" s="30">
        <f>+H107-H109</f>
        <v>-171972.35008351071</v>
      </c>
      <c r="I111" s="13"/>
      <c r="J111" s="35">
        <f>IF(H$12=0,0,H111/H$12)</f>
        <v>-2.9883288747395342</v>
      </c>
      <c r="K111" s="16"/>
      <c r="L111" s="30">
        <f>D111-H111</f>
        <v>-6970.9499164893059</v>
      </c>
      <c r="M111" s="16"/>
      <c r="N111" s="35">
        <f>IF(H111=0,0,L111/H111)</f>
        <v>4.0535294848876427E-2</v>
      </c>
      <c r="O111" s="25"/>
      <c r="P111" s="30">
        <f>+P107-P109</f>
        <v>-328528.37</v>
      </c>
      <c r="Q111" s="13"/>
      <c r="R111" s="35">
        <f>IF(P$12=0,0,P111/P$12)</f>
        <v>-4.1772938356096452</v>
      </c>
      <c r="S111" s="13"/>
      <c r="T111" s="30">
        <f>+T107-T109</f>
        <v>-356306.82026496663</v>
      </c>
      <c r="U111" s="13"/>
      <c r="V111" s="35">
        <f>IF(T$12=0,0,T111/T$12)</f>
        <v>-5.3934399022897335</v>
      </c>
      <c r="W111" s="16"/>
      <c r="X111" s="30">
        <f>P111-T111</f>
        <v>27778.450264966639</v>
      </c>
      <c r="Y111" s="16"/>
      <c r="Z111" s="35">
        <f>IF(T111=0,0,X111/T111)</f>
        <v>-7.7962162622397371E-2</v>
      </c>
    </row>
    <row r="112" spans="1:26" ht="15" thickTop="1" x14ac:dyDescent="0.3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3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" thickBot="1" x14ac:dyDescent="0.35">
      <c r="A114" s="10"/>
      <c r="B114" s="26" t="s">
        <v>294</v>
      </c>
      <c r="C114" s="26"/>
      <c r="D114" s="32">
        <f>SUM(D111:D113)</f>
        <v>-178943.30000000002</v>
      </c>
      <c r="E114" s="13"/>
      <c r="F114" s="34">
        <f>IF(D$12=0,0,D114/D$12)</f>
        <v>-3.0358233785305391</v>
      </c>
      <c r="G114" s="13"/>
      <c r="H114" s="32">
        <f>SUM(H111:H113)</f>
        <v>-171972.35008351071</v>
      </c>
      <c r="I114" s="13"/>
      <c r="J114" s="34">
        <f>IF(H$12=0,0,H114/H$12)</f>
        <v>-2.9883288747395342</v>
      </c>
      <c r="K114" s="16"/>
      <c r="L114" s="32">
        <f>+D114-H114</f>
        <v>-6970.9499164893059</v>
      </c>
      <c r="M114" s="16"/>
      <c r="N114" s="34">
        <f>IF(H114=0,0,L114/H114)</f>
        <v>4.0535294848876427E-2</v>
      </c>
      <c r="O114" s="25"/>
      <c r="P114" s="32">
        <f>SUM(P111:P113)</f>
        <v>-328528.37</v>
      </c>
      <c r="Q114" s="13"/>
      <c r="R114" s="34">
        <f>IF(P$12=0,0,P114/P$12)</f>
        <v>-4.1772938356096452</v>
      </c>
      <c r="S114" s="13"/>
      <c r="T114" s="32">
        <f>SUM(T111:T113)</f>
        <v>-356306.82026496663</v>
      </c>
      <c r="U114" s="13"/>
      <c r="V114" s="34">
        <f>IF(T$12=0,0,T114/T$12)</f>
        <v>-5.3934399022897335</v>
      </c>
      <c r="W114" s="16"/>
      <c r="X114" s="32">
        <f>+P114-T114</f>
        <v>27778.450264966639</v>
      </c>
      <c r="Y114" s="16"/>
      <c r="Z114" s="34">
        <f>IF(T114=0,0,X114/T114)</f>
        <v>-7.7962162622397371E-2</v>
      </c>
    </row>
    <row r="115" spans="1:26" ht="15" thickTop="1" x14ac:dyDescent="0.3">
      <c r="A115" s="9"/>
      <c r="C115" s="9"/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3">
      <c r="A116" s="9"/>
      <c r="B116" s="61">
        <v>44470.835443981479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3">
      <c r="A117" s="9"/>
      <c r="B117" s="58" t="s">
        <v>56</v>
      </c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3">
      <c r="A118" s="9"/>
      <c r="B118" s="55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3"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1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106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52278.77</v>
      </c>
      <c r="E12" s="4"/>
      <c r="F12" s="12"/>
      <c r="G12" s="4"/>
      <c r="H12" s="4">
        <f>SUM(OSRRefH13x_0)</f>
        <v>45034</v>
      </c>
      <c r="I12" s="4"/>
      <c r="J12" s="12"/>
      <c r="K12" s="4"/>
      <c r="L12" s="4">
        <f t="shared" ref="L12:L16" si="0">+D12-H12</f>
        <v>7244.7699999999968</v>
      </c>
      <c r="M12" s="4"/>
      <c r="N12" s="12">
        <f t="shared" ref="N12:N16" si="1">IF(H12=0,0,L12/H12)</f>
        <v>0.160873340143003</v>
      </c>
      <c r="O12" s="10"/>
      <c r="P12" s="4">
        <f>SUM(OSRRefP13x_0)</f>
        <v>71981.08</v>
      </c>
      <c r="Q12" s="4"/>
      <c r="R12" s="12"/>
      <c r="S12" s="4"/>
      <c r="T12" s="4">
        <f>SUM(OSRRefT13x_0)</f>
        <v>53549</v>
      </c>
      <c r="U12" s="4"/>
      <c r="V12" s="12"/>
      <c r="W12" s="4"/>
      <c r="X12" s="4">
        <f t="shared" ref="X12:X16" si="2">+P12-T12</f>
        <v>18432.080000000002</v>
      </c>
      <c r="Y12" s="4"/>
      <c r="Z12" s="12">
        <f t="shared" ref="Z12:Z16" si="3">IF(T12=0,0,X12/T12)</f>
        <v>0.34420960242021331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14284</v>
      </c>
      <c r="I13" s="2"/>
      <c r="J13" s="19"/>
      <c r="K13" s="2"/>
      <c r="L13" s="2">
        <f t="shared" si="0"/>
        <v>-14284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17046</v>
      </c>
      <c r="U13" s="2"/>
      <c r="V13" s="19"/>
      <c r="W13" s="2"/>
      <c r="X13" s="2">
        <f t="shared" si="2"/>
        <v>-17046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--20639.51</f>
        <v>20639.509999999998</v>
      </c>
      <c r="E14" s="2"/>
      <c r="F14" s="19"/>
      <c r="G14" s="2"/>
      <c r="H14" s="2"/>
      <c r="I14" s="2"/>
      <c r="J14" s="19"/>
      <c r="K14" s="2"/>
      <c r="L14" s="2">
        <f t="shared" si="0"/>
        <v>20639.509999999998</v>
      </c>
      <c r="M14" s="2"/>
      <c r="N14" s="19">
        <f t="shared" si="1"/>
        <v>0</v>
      </c>
      <c r="O14" s="11"/>
      <c r="P14" s="2">
        <f>--31270.44</f>
        <v>31270.44</v>
      </c>
      <c r="Q14" s="2"/>
      <c r="R14" s="19"/>
      <c r="S14" s="2"/>
      <c r="T14" s="2"/>
      <c r="U14" s="2"/>
      <c r="V14" s="19"/>
      <c r="W14" s="2"/>
      <c r="X14" s="2">
        <f t="shared" si="2"/>
        <v>31270.44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30750</v>
      </c>
      <c r="I15" s="2"/>
      <c r="J15" s="19"/>
      <c r="K15" s="2"/>
      <c r="L15" s="2">
        <f t="shared" si="0"/>
        <v>-30750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36503</v>
      </c>
      <c r="U15" s="2"/>
      <c r="V15" s="19"/>
      <c r="W15" s="2"/>
      <c r="X15" s="2">
        <f t="shared" si="2"/>
        <v>-36503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--31639.26</f>
        <v>31639.26</v>
      </c>
      <c r="E16" s="2"/>
      <c r="F16" s="19"/>
      <c r="G16" s="2"/>
      <c r="H16" s="2"/>
      <c r="I16" s="2"/>
      <c r="J16" s="19"/>
      <c r="K16" s="2"/>
      <c r="L16" s="2">
        <f t="shared" si="0"/>
        <v>31639.26</v>
      </c>
      <c r="M16" s="2"/>
      <c r="N16" s="19">
        <f t="shared" si="1"/>
        <v>0</v>
      </c>
      <c r="O16" s="11"/>
      <c r="P16" s="2">
        <f>--40710.64</f>
        <v>40710.639999999999</v>
      </c>
      <c r="Q16" s="2"/>
      <c r="R16" s="19"/>
      <c r="S16" s="2"/>
      <c r="T16" s="2"/>
      <c r="U16" s="2"/>
      <c r="V16" s="19"/>
      <c r="W16" s="2"/>
      <c r="X16" s="2">
        <f t="shared" si="2"/>
        <v>40710.639999999999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14137.050000000003</v>
      </c>
      <c r="E18" s="4"/>
      <c r="F18" s="12">
        <f t="shared" ref="F18:F21" si="4">IF(D$12=0,0,D18/D$12)</f>
        <v>0.27041665287840561</v>
      </c>
      <c r="G18" s="4"/>
      <c r="H18" s="4">
        <f>SUM(OSRRefH16x_0)</f>
        <v>17113</v>
      </c>
      <c r="I18" s="4"/>
      <c r="J18" s="12">
        <f t="shared" ref="J18:J21" si="5">IF(H$12=0,0,H18/H$12)</f>
        <v>0.38000177643558203</v>
      </c>
      <c r="K18" s="4"/>
      <c r="L18" s="4">
        <f t="shared" ref="L18:L21" si="6">+D18-H18</f>
        <v>-2975.9499999999971</v>
      </c>
      <c r="M18" s="4"/>
      <c r="N18" s="12">
        <f t="shared" ref="N18:N21" si="7">IF(H18=0,0,L18/H18)</f>
        <v>-0.17389995909542436</v>
      </c>
      <c r="O18" s="10"/>
      <c r="P18" s="4">
        <f>SUM(OSRRefP16x_0)</f>
        <v>19196.43</v>
      </c>
      <c r="Q18" s="4"/>
      <c r="R18" s="12">
        <f t="shared" ref="R18:R21" si="8">IF(P$12=0,0,P18/P$12)</f>
        <v>0.26668716279333404</v>
      </c>
      <c r="S18" s="4"/>
      <c r="T18" s="4">
        <f>SUM(OSRRefT16x_0)</f>
        <v>20362</v>
      </c>
      <c r="U18" s="4"/>
      <c r="V18" s="12">
        <f t="shared" ref="V18:V21" si="9">IF(T$12=0,0,T18/T$12)</f>
        <v>0.38024986460998339</v>
      </c>
      <c r="W18" s="4"/>
      <c r="X18" s="4">
        <f t="shared" ref="X18:X21" si="10">+P18-T18</f>
        <v>-1165.5699999999997</v>
      </c>
      <c r="Y18" s="4"/>
      <c r="Z18" s="12">
        <f t="shared" ref="Z18:Z21" si="11">IF(T18=0,0,X18/T18)</f>
        <v>-5.7242412336705614E-2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17113</v>
      </c>
      <c r="I19" s="2"/>
      <c r="J19" s="19">
        <f t="shared" si="5"/>
        <v>0.38000177643558203</v>
      </c>
      <c r="K19" s="2"/>
      <c r="L19" s="2">
        <f t="shared" si="6"/>
        <v>-17113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20362</v>
      </c>
      <c r="U19" s="2"/>
      <c r="V19" s="19">
        <f t="shared" si="9"/>
        <v>0.38024986460998339</v>
      </c>
      <c r="W19" s="2"/>
      <c r="X19" s="2">
        <f t="shared" si="10"/>
        <v>-20362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37147.050000000003</v>
      </c>
      <c r="E20" s="2"/>
      <c r="F20" s="19">
        <f t="shared" si="4"/>
        <v>0.71055707699320403</v>
      </c>
      <c r="G20" s="2"/>
      <c r="H20" s="2"/>
      <c r="I20" s="2"/>
      <c r="J20" s="19">
        <f t="shared" si="5"/>
        <v>0</v>
      </c>
      <c r="K20" s="2"/>
      <c r="L20" s="2">
        <f t="shared" si="6"/>
        <v>37147.050000000003</v>
      </c>
      <c r="M20" s="2"/>
      <c r="N20" s="19">
        <f t="shared" si="7"/>
        <v>0</v>
      </c>
      <c r="O20" s="11"/>
      <c r="P20" s="2">
        <v>45371.43</v>
      </c>
      <c r="Q20" s="2"/>
      <c r="R20" s="19">
        <f t="shared" si="8"/>
        <v>0.6303243852412328</v>
      </c>
      <c r="S20" s="2"/>
      <c r="T20" s="2"/>
      <c r="U20" s="2"/>
      <c r="V20" s="19">
        <f t="shared" si="9"/>
        <v>0</v>
      </c>
      <c r="W20" s="2"/>
      <c r="X20" s="2">
        <f t="shared" si="10"/>
        <v>45371.43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-23010</v>
      </c>
      <c r="E21" s="2"/>
      <c r="F21" s="19">
        <f t="shared" si="4"/>
        <v>-0.44014042411479842</v>
      </c>
      <c r="G21" s="2"/>
      <c r="H21" s="2"/>
      <c r="I21" s="2"/>
      <c r="J21" s="19">
        <f t="shared" si="5"/>
        <v>0</v>
      </c>
      <c r="K21" s="2"/>
      <c r="L21" s="2">
        <f t="shared" si="6"/>
        <v>-23010</v>
      </c>
      <c r="M21" s="2"/>
      <c r="N21" s="19">
        <f t="shared" si="7"/>
        <v>0</v>
      </c>
      <c r="O21" s="11"/>
      <c r="P21" s="2">
        <v>-26175</v>
      </c>
      <c r="Q21" s="2"/>
      <c r="R21" s="19">
        <f t="shared" si="8"/>
        <v>-0.36363722244789881</v>
      </c>
      <c r="S21" s="2"/>
      <c r="T21" s="2"/>
      <c r="U21" s="2"/>
      <c r="V21" s="19">
        <f t="shared" si="9"/>
        <v>0</v>
      </c>
      <c r="W21" s="2"/>
      <c r="X21" s="2">
        <f t="shared" si="10"/>
        <v>-26175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38141.719999999994</v>
      </c>
      <c r="E23" s="13"/>
      <c r="F23" s="20">
        <f>IF(D$12=0,0,D23/D$12)</f>
        <v>0.72958334712159445</v>
      </c>
      <c r="G23" s="13"/>
      <c r="H23" s="21">
        <f>H12-H18</f>
        <v>27921</v>
      </c>
      <c r="I23" s="13"/>
      <c r="J23" s="20">
        <f>IF(H$12=0,0,H23/H$12)</f>
        <v>0.61999822356441803</v>
      </c>
      <c r="K23" s="16"/>
      <c r="L23" s="21">
        <f>+D23-H23</f>
        <v>10220.719999999994</v>
      </c>
      <c r="M23" s="16"/>
      <c r="N23" s="20">
        <f>IF(H23=0,0,L23/H23)</f>
        <v>0.36605852225923119</v>
      </c>
      <c r="O23" s="25"/>
      <c r="P23" s="21">
        <f>P12-P18</f>
        <v>52784.65</v>
      </c>
      <c r="Q23" s="13"/>
      <c r="R23" s="20">
        <f>IF(P$12=0,0,P23/P$12)</f>
        <v>0.73331283720666596</v>
      </c>
      <c r="S23" s="13"/>
      <c r="T23" s="21">
        <f>T12-T18</f>
        <v>33187</v>
      </c>
      <c r="U23" s="13"/>
      <c r="V23" s="20">
        <f>IF(T$12=0,0,T23/T$12)</f>
        <v>0.61975013539001667</v>
      </c>
      <c r="W23" s="16"/>
      <c r="X23" s="21">
        <f>+P23-T23</f>
        <v>19597.650000000001</v>
      </c>
      <c r="Y23" s="16"/>
      <c r="Z23" s="20">
        <f>IF(T23=0,0,X23/T23)</f>
        <v>0.59052189110193753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2">
        <f>SUM(OSRRefD22x_0)</f>
        <v>201319.06</v>
      </c>
      <c r="E25" s="22"/>
      <c r="F25" s="31">
        <f t="shared" ref="F25:F35" si="12">IF(D$12=0,0,D25/D$12)</f>
        <v>3.8508759865620408</v>
      </c>
      <c r="G25" s="22"/>
      <c r="H25" s="22">
        <f>SUM(OSRRefH22x_0)</f>
        <v>168925.66949620302</v>
      </c>
      <c r="I25" s="22"/>
      <c r="J25" s="31">
        <f t="shared" ref="J25:J35" si="13">IF(H$12=0,0,H25/H$12)</f>
        <v>3.7510696250877786</v>
      </c>
      <c r="K25" s="4"/>
      <c r="L25" s="22">
        <f t="shared" ref="L25:L35" si="14">+D25-H25</f>
        <v>32393.390503796982</v>
      </c>
      <c r="M25" s="4"/>
      <c r="N25" s="31">
        <f t="shared" ref="N25:N35" si="15">IF(H25=0,0,L25/H25)</f>
        <v>0.19176120834924437</v>
      </c>
      <c r="O25" s="10"/>
      <c r="P25" s="22">
        <f>SUM(OSRRefP22x_0)</f>
        <v>347170.18999999994</v>
      </c>
      <c r="Q25" s="22"/>
      <c r="R25" s="31">
        <f t="shared" ref="R25:R35" si="16">IF(P$12=0,0,P25/P$12)</f>
        <v>4.82307559153044</v>
      </c>
      <c r="S25" s="22"/>
      <c r="T25" s="22">
        <f>SUM(OSRRefT22x_0)</f>
        <v>333325.89116227429</v>
      </c>
      <c r="U25" s="22"/>
      <c r="V25" s="31">
        <f t="shared" ref="V25:V35" si="17">IF(T$12=0,0,T25/T$12)</f>
        <v>6.2246893716460496</v>
      </c>
      <c r="W25" s="4"/>
      <c r="X25" s="22">
        <f t="shared" ref="X25:X35" si="18">+P25-T25</f>
        <v>13844.298837725655</v>
      </c>
      <c r="Y25" s="4"/>
      <c r="Z25" s="31">
        <f t="shared" ref="Z25:Z35" si="19">IF(T25=0,0,X25/T25)</f>
        <v>4.1533823818641749E-2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27914.86</v>
      </c>
      <c r="E26" s="1"/>
      <c r="F26" s="5">
        <f t="shared" si="12"/>
        <v>0.53396168272512923</v>
      </c>
      <c r="G26" s="1"/>
      <c r="H26" s="1">
        <f>SUM(OSRRefH22_0x_0)</f>
        <v>27551.134796203027</v>
      </c>
      <c r="I26" s="1"/>
      <c r="J26" s="5">
        <f t="shared" si="13"/>
        <v>0.61178520220728838</v>
      </c>
      <c r="K26" s="1"/>
      <c r="L26" s="1">
        <f t="shared" si="14"/>
        <v>363.7252037969738</v>
      </c>
      <c r="M26" s="1"/>
      <c r="N26" s="5">
        <f t="shared" si="15"/>
        <v>1.3201822955296229E-2</v>
      </c>
      <c r="O26" s="14"/>
      <c r="P26" s="1">
        <f>SUM(OSRRefP22_0x_0)</f>
        <v>53249.920000000006</v>
      </c>
      <c r="Q26" s="1"/>
      <c r="R26" s="5">
        <f t="shared" si="16"/>
        <v>0.73977661907823566</v>
      </c>
      <c r="S26" s="1"/>
      <c r="T26" s="1">
        <f>SUM(OSRRefT22_0x_0)</f>
        <v>55563.498087274289</v>
      </c>
      <c r="U26" s="1"/>
      <c r="V26" s="5">
        <f t="shared" si="17"/>
        <v>1.0376197144162222</v>
      </c>
      <c r="W26" s="1"/>
      <c r="X26" s="1">
        <f t="shared" si="18"/>
        <v>-2313.5780872742835</v>
      </c>
      <c r="Y26" s="1"/>
      <c r="Z26" s="5">
        <f t="shared" si="19"/>
        <v>-4.1638452705773078E-2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4256.6000000000004</v>
      </c>
      <c r="E27" s="2"/>
      <c r="F27" s="7">
        <f t="shared" si="12"/>
        <v>8.1421196405347729E-2</v>
      </c>
      <c r="G27" s="2"/>
      <c r="H27" s="6">
        <v>3744.4438746646101</v>
      </c>
      <c r="I27" s="2"/>
      <c r="J27" s="7">
        <f t="shared" si="13"/>
        <v>8.3147041672172364E-2</v>
      </c>
      <c r="K27" s="2"/>
      <c r="L27" s="6">
        <f t="shared" si="14"/>
        <v>512.15612533539024</v>
      </c>
      <c r="M27" s="2"/>
      <c r="N27" s="7">
        <f t="shared" si="15"/>
        <v>0.13677762105094018</v>
      </c>
      <c r="O27" s="11"/>
      <c r="P27" s="6">
        <v>7455.16</v>
      </c>
      <c r="Q27" s="2"/>
      <c r="R27" s="7">
        <f t="shared" si="16"/>
        <v>0.10357110507372215</v>
      </c>
      <c r="S27" s="2"/>
      <c r="T27" s="6">
        <v>7520.8780811203897</v>
      </c>
      <c r="U27" s="2"/>
      <c r="V27" s="7">
        <f t="shared" si="17"/>
        <v>0.14044852529683821</v>
      </c>
      <c r="W27" s="2"/>
      <c r="X27" s="6">
        <f t="shared" si="18"/>
        <v>-65.718081120389797</v>
      </c>
      <c r="Y27" s="2"/>
      <c r="Z27" s="7">
        <f t="shared" si="19"/>
        <v>-8.7380862196611668E-3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1592.23</v>
      </c>
      <c r="E28" s="2"/>
      <c r="F28" s="7">
        <f t="shared" si="12"/>
        <v>3.0456531398883335E-2</v>
      </c>
      <c r="G28" s="2"/>
      <c r="H28" s="6">
        <v>2436.1282934769201</v>
      </c>
      <c r="I28" s="2"/>
      <c r="J28" s="7">
        <f t="shared" si="13"/>
        <v>5.4095312285760096E-2</v>
      </c>
      <c r="K28" s="2"/>
      <c r="L28" s="6">
        <f t="shared" si="14"/>
        <v>-843.89829347692012</v>
      </c>
      <c r="M28" s="2"/>
      <c r="N28" s="7">
        <f t="shared" si="15"/>
        <v>-0.3464096270038724</v>
      </c>
      <c r="O28" s="11"/>
      <c r="P28" s="6">
        <v>2698.85</v>
      </c>
      <c r="Q28" s="2"/>
      <c r="R28" s="7">
        <f t="shared" si="16"/>
        <v>3.7493880336332823E-2</v>
      </c>
      <c r="S28" s="2"/>
      <c r="T28" s="6">
        <v>4323.8439790730799</v>
      </c>
      <c r="U28" s="2"/>
      <c r="V28" s="7">
        <f t="shared" si="17"/>
        <v>8.0745559750379656E-2</v>
      </c>
      <c r="W28" s="2"/>
      <c r="X28" s="6">
        <f t="shared" si="18"/>
        <v>-1624.99397907308</v>
      </c>
      <c r="Y28" s="2"/>
      <c r="Z28" s="7">
        <f t="shared" si="19"/>
        <v>-0.37582160386403135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12571.09</v>
      </c>
      <c r="E29" s="2"/>
      <c r="F29" s="7">
        <f t="shared" si="12"/>
        <v>0.2404626199124425</v>
      </c>
      <c r="G29" s="2"/>
      <c r="H29" s="6">
        <v>13468.461538461501</v>
      </c>
      <c r="I29" s="2"/>
      <c r="J29" s="7">
        <f t="shared" si="13"/>
        <v>0.29907317889731094</v>
      </c>
      <c r="K29" s="2"/>
      <c r="L29" s="6">
        <f t="shared" si="14"/>
        <v>-897.37153846150068</v>
      </c>
      <c r="M29" s="2"/>
      <c r="N29" s="7">
        <f t="shared" si="15"/>
        <v>-6.6627620081098529E-2</v>
      </c>
      <c r="O29" s="11"/>
      <c r="P29" s="6">
        <v>24503.68</v>
      </c>
      <c r="Q29" s="2"/>
      <c r="R29" s="7">
        <f t="shared" si="16"/>
        <v>0.34041834326464676</v>
      </c>
      <c r="S29" s="2"/>
      <c r="T29" s="6">
        <v>27639.430769230799</v>
      </c>
      <c r="U29" s="2"/>
      <c r="V29" s="7">
        <f t="shared" si="17"/>
        <v>0.51615213672021509</v>
      </c>
      <c r="W29" s="2"/>
      <c r="X29" s="6">
        <f t="shared" si="18"/>
        <v>-3135.7507692307991</v>
      </c>
      <c r="Y29" s="2"/>
      <c r="Z29" s="7">
        <f t="shared" si="19"/>
        <v>-0.11345207487853291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143.97</v>
      </c>
      <c r="E30" s="2"/>
      <c r="F30" s="7">
        <f t="shared" si="12"/>
        <v>2.7538903459281847E-3</v>
      </c>
      <c r="G30" s="2"/>
      <c r="H30" s="6">
        <v>134.983361907692</v>
      </c>
      <c r="I30" s="2"/>
      <c r="J30" s="7">
        <f t="shared" si="13"/>
        <v>2.9973655883930362E-3</v>
      </c>
      <c r="K30" s="2"/>
      <c r="L30" s="6">
        <f t="shared" si="14"/>
        <v>8.9866380923079987</v>
      </c>
      <c r="M30" s="2"/>
      <c r="N30" s="7">
        <f t="shared" si="15"/>
        <v>6.6575894727333038E-2</v>
      </c>
      <c r="O30" s="11"/>
      <c r="P30" s="6">
        <v>252.67</v>
      </c>
      <c r="Q30" s="2"/>
      <c r="R30" s="7">
        <f t="shared" si="16"/>
        <v>3.5102279654598122E-3</v>
      </c>
      <c r="S30" s="2"/>
      <c r="T30" s="6">
        <v>239.57974554230799</v>
      </c>
      <c r="U30" s="2"/>
      <c r="V30" s="7">
        <f t="shared" si="17"/>
        <v>4.4740283766701149E-3</v>
      </c>
      <c r="W30" s="2"/>
      <c r="X30" s="6">
        <f t="shared" si="18"/>
        <v>13.090254457691998</v>
      </c>
      <c r="Y30" s="2"/>
      <c r="Z30" s="7">
        <f t="shared" si="19"/>
        <v>5.4638402040461123E-2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3152.51</v>
      </c>
      <c r="E31" s="2"/>
      <c r="F31" s="7">
        <f t="shared" si="12"/>
        <v>6.0301916055025787E-2</v>
      </c>
      <c r="G31" s="2"/>
      <c r="H31" s="6">
        <v>2348.8135430769198</v>
      </c>
      <c r="I31" s="2"/>
      <c r="J31" s="7">
        <f t="shared" si="13"/>
        <v>5.2156449417704843E-2</v>
      </c>
      <c r="K31" s="2"/>
      <c r="L31" s="6">
        <f t="shared" si="14"/>
        <v>803.6964569230804</v>
      </c>
      <c r="M31" s="2"/>
      <c r="N31" s="7">
        <f t="shared" si="15"/>
        <v>0.34217124611357908</v>
      </c>
      <c r="O31" s="11"/>
      <c r="P31" s="6">
        <v>6141.54</v>
      </c>
      <c r="Q31" s="2"/>
      <c r="R31" s="7">
        <f t="shared" si="16"/>
        <v>8.5321587283769568E-2</v>
      </c>
      <c r="S31" s="2"/>
      <c r="T31" s="6">
        <v>5284.83047192309</v>
      </c>
      <c r="U31" s="2"/>
      <c r="V31" s="7">
        <f t="shared" si="17"/>
        <v>9.8691487645391887E-2</v>
      </c>
      <c r="W31" s="2"/>
      <c r="X31" s="6">
        <f t="shared" si="18"/>
        <v>856.70952807690992</v>
      </c>
      <c r="Y31" s="2"/>
      <c r="Z31" s="7">
        <f t="shared" si="19"/>
        <v>0.16210728662506424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6">
        <v>2973.5</v>
      </c>
      <c r="E33" s="2"/>
      <c r="F33" s="7">
        <f t="shared" si="12"/>
        <v>5.6877772755556416E-2</v>
      </c>
      <c r="G33" s="2"/>
      <c r="H33" s="6">
        <v>2294.0904723076901</v>
      </c>
      <c r="I33" s="2"/>
      <c r="J33" s="7">
        <f t="shared" si="13"/>
        <v>5.0941299291817073E-2</v>
      </c>
      <c r="K33" s="2"/>
      <c r="L33" s="6">
        <f t="shared" si="14"/>
        <v>679.40952769230989</v>
      </c>
      <c r="M33" s="2"/>
      <c r="N33" s="7">
        <f t="shared" si="15"/>
        <v>0.29615637913742465</v>
      </c>
      <c r="O33" s="11"/>
      <c r="P33" s="6">
        <v>5928.44</v>
      </c>
      <c r="Q33" s="2"/>
      <c r="R33" s="7">
        <f t="shared" si="16"/>
        <v>8.2361087107890016E-2</v>
      </c>
      <c r="S33" s="2"/>
      <c r="T33" s="6">
        <v>5109.8635626923096</v>
      </c>
      <c r="U33" s="2"/>
      <c r="V33" s="7">
        <f t="shared" si="17"/>
        <v>9.5424070714528936E-2</v>
      </c>
      <c r="W33" s="2"/>
      <c r="X33" s="6">
        <f t="shared" si="18"/>
        <v>818.57643730768996</v>
      </c>
      <c r="Y33" s="2"/>
      <c r="Z33" s="7">
        <f t="shared" si="19"/>
        <v>0.16019536084763766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6">
        <v>1911.66</v>
      </c>
      <c r="E34" s="2"/>
      <c r="F34" s="7">
        <f t="shared" si="12"/>
        <v>3.6566659850643009E-2</v>
      </c>
      <c r="G34" s="2"/>
      <c r="H34" s="6">
        <v>1163.21371230769</v>
      </c>
      <c r="I34" s="2"/>
      <c r="J34" s="7">
        <f t="shared" si="13"/>
        <v>2.5829677850239596E-2</v>
      </c>
      <c r="K34" s="2"/>
      <c r="L34" s="6">
        <f t="shared" si="14"/>
        <v>748.44628769231008</v>
      </c>
      <c r="M34" s="2"/>
      <c r="N34" s="7">
        <f t="shared" si="15"/>
        <v>0.64342973245000157</v>
      </c>
      <c r="O34" s="11"/>
      <c r="P34" s="6">
        <v>3810.44</v>
      </c>
      <c r="Q34" s="2"/>
      <c r="R34" s="7">
        <f t="shared" si="16"/>
        <v>5.2936688363108747E-2</v>
      </c>
      <c r="S34" s="2"/>
      <c r="T34" s="6">
        <v>1859.0714776923101</v>
      </c>
      <c r="U34" s="2"/>
      <c r="V34" s="7">
        <f t="shared" si="17"/>
        <v>3.4717202519044428E-2</v>
      </c>
      <c r="W34" s="2"/>
      <c r="X34" s="6">
        <f t="shared" si="18"/>
        <v>1951.36852230769</v>
      </c>
      <c r="Y34" s="2"/>
      <c r="Z34" s="7">
        <f t="shared" si="19"/>
        <v>1.0496468509806569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6">
        <v>1313.3</v>
      </c>
      <c r="E35" s="2"/>
      <c r="F35" s="7">
        <f t="shared" si="12"/>
        <v>2.5121096001302249E-2</v>
      </c>
      <c r="G35" s="2"/>
      <c r="H35" s="6">
        <v>1961</v>
      </c>
      <c r="I35" s="2"/>
      <c r="J35" s="7">
        <f t="shared" si="13"/>
        <v>4.3544877203890393E-2</v>
      </c>
      <c r="K35" s="2"/>
      <c r="L35" s="6">
        <f t="shared" si="14"/>
        <v>-647.70000000000005</v>
      </c>
      <c r="M35" s="2"/>
      <c r="N35" s="7">
        <f t="shared" si="15"/>
        <v>-0.33029066802651713</v>
      </c>
      <c r="O35" s="11"/>
      <c r="P35" s="6">
        <v>2459.14</v>
      </c>
      <c r="Q35" s="2"/>
      <c r="R35" s="7">
        <f t="shared" si="16"/>
        <v>3.4163699683305668E-2</v>
      </c>
      <c r="S35" s="2"/>
      <c r="T35" s="6">
        <v>3586</v>
      </c>
      <c r="U35" s="2"/>
      <c r="V35" s="7">
        <f t="shared" si="17"/>
        <v>6.6966703393153929E-2</v>
      </c>
      <c r="W35" s="2"/>
      <c r="X35" s="6">
        <f t="shared" si="18"/>
        <v>-1126.8600000000001</v>
      </c>
      <c r="Y35" s="2"/>
      <c r="Z35" s="7">
        <f t="shared" si="19"/>
        <v>-0.31423870607919691</v>
      </c>
    </row>
    <row r="36" spans="1:26" s="28" customFormat="1" outlineLevel="1" collapsed="1" x14ac:dyDescent="0.3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58909.710000000006</v>
      </c>
      <c r="E36" s="1"/>
      <c r="F36" s="5">
        <f t="shared" ref="F36:F46" si="20">IF(D$12=0,0,D36/D$12)</f>
        <v>1.1268381027327157</v>
      </c>
      <c r="G36" s="1"/>
      <c r="H36" s="1">
        <f>SUM(OSRRefH22_1x_0)</f>
        <v>60892.534699999997</v>
      </c>
      <c r="I36" s="1"/>
      <c r="J36" s="5">
        <f t="shared" ref="J36:J46" si="21">IF(H$12=0,0,H36/H$12)</f>
        <v>1.3521458164942044</v>
      </c>
      <c r="K36" s="1"/>
      <c r="L36" s="1">
        <f t="shared" ref="L36:L46" si="22">+D36-H36</f>
        <v>-1982.8246999999901</v>
      </c>
      <c r="M36" s="1"/>
      <c r="N36" s="5">
        <f t="shared" ref="N36:N46" si="23">IF(H36=0,0,L36/H36)</f>
        <v>-3.2562689495006195E-2</v>
      </c>
      <c r="O36" s="14"/>
      <c r="P36" s="1">
        <f>SUM(OSRRefP22_1x_0)</f>
        <v>111512.65999999999</v>
      </c>
      <c r="Q36" s="1"/>
      <c r="R36" s="5">
        <f t="shared" ref="R36:R46" si="24">IF(P$12=0,0,P36/P$12)</f>
        <v>1.549194038211152</v>
      </c>
      <c r="S36" s="1"/>
      <c r="T36" s="1">
        <f>SUM(OSRRefT22_1x_0)</f>
        <v>107208.393075</v>
      </c>
      <c r="U36" s="1"/>
      <c r="V36" s="5">
        <f t="shared" ref="V36:V46" si="25">IF(T$12=0,0,T36/T$12)</f>
        <v>2.0020615338288295</v>
      </c>
      <c r="W36" s="1"/>
      <c r="X36" s="1">
        <f t="shared" ref="X36:X46" si="26">+P36-T36</f>
        <v>4304.266924999989</v>
      </c>
      <c r="Y36" s="1"/>
      <c r="Z36" s="5">
        <f t="shared" ref="Z36:Z46" si="27">IF(T36=0,0,X36/T36)</f>
        <v>4.014860032449926E-2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>
        <v>8855.42</v>
      </c>
      <c r="E37" s="2"/>
      <c r="F37" s="7">
        <f t="shared" si="20"/>
        <v>0.16938845347738671</v>
      </c>
      <c r="G37" s="2"/>
      <c r="H37" s="6">
        <v>10268.307692307701</v>
      </c>
      <c r="I37" s="2"/>
      <c r="J37" s="7">
        <f t="shared" si="21"/>
        <v>0.22801233939485058</v>
      </c>
      <c r="K37" s="2"/>
      <c r="L37" s="6">
        <f t="shared" si="22"/>
        <v>-1412.8876923077005</v>
      </c>
      <c r="M37" s="2"/>
      <c r="N37" s="7">
        <f t="shared" si="23"/>
        <v>-0.13759693755243985</v>
      </c>
      <c r="O37" s="11"/>
      <c r="P37" s="6">
        <v>22691.7</v>
      </c>
      <c r="Q37" s="2"/>
      <c r="R37" s="7">
        <f t="shared" si="24"/>
        <v>0.31524533946976069</v>
      </c>
      <c r="S37" s="2"/>
      <c r="T37" s="6">
        <v>23103.692307692301</v>
      </c>
      <c r="U37" s="2"/>
      <c r="V37" s="7">
        <f t="shared" si="25"/>
        <v>0.4314495566246298</v>
      </c>
      <c r="W37" s="2"/>
      <c r="X37" s="6">
        <f t="shared" si="26"/>
        <v>-411.99230769230053</v>
      </c>
      <c r="Y37" s="2"/>
      <c r="Z37" s="7">
        <f t="shared" si="27"/>
        <v>-1.7832314515162106E-2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6">
        <v>20808.45</v>
      </c>
      <c r="E38" s="2"/>
      <c r="F38" s="7">
        <f t="shared" si="20"/>
        <v>0.39802868353635718</v>
      </c>
      <c r="G38" s="2"/>
      <c r="H38" s="6">
        <v>14790.503807692299</v>
      </c>
      <c r="I38" s="2"/>
      <c r="J38" s="7">
        <f t="shared" si="21"/>
        <v>0.32842971549700889</v>
      </c>
      <c r="K38" s="2"/>
      <c r="L38" s="6">
        <f t="shared" si="22"/>
        <v>6017.9461923077015</v>
      </c>
      <c r="M38" s="2"/>
      <c r="N38" s="7">
        <f t="shared" si="23"/>
        <v>0.4068790536518348</v>
      </c>
      <c r="O38" s="11"/>
      <c r="P38" s="6">
        <v>44532.47</v>
      </c>
      <c r="Q38" s="2"/>
      <c r="R38" s="7">
        <f t="shared" si="24"/>
        <v>0.61866910026912625</v>
      </c>
      <c r="S38" s="2"/>
      <c r="T38" s="6">
        <v>33278.633567307697</v>
      </c>
      <c r="U38" s="2"/>
      <c r="V38" s="7">
        <f t="shared" si="25"/>
        <v>0.62146134507288087</v>
      </c>
      <c r="W38" s="2"/>
      <c r="X38" s="6">
        <f t="shared" si="26"/>
        <v>11253.836432692304</v>
      </c>
      <c r="Y38" s="2"/>
      <c r="Z38" s="7">
        <f t="shared" si="27"/>
        <v>0.33817002762240395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6">
        <v>8001.1</v>
      </c>
      <c r="E40" s="2"/>
      <c r="F40" s="7">
        <f t="shared" si="20"/>
        <v>0.15304682952563728</v>
      </c>
      <c r="G40" s="2"/>
      <c r="H40" s="6">
        <v>14476.3932</v>
      </c>
      <c r="I40" s="2"/>
      <c r="J40" s="7">
        <f t="shared" si="21"/>
        <v>0.32145474974463739</v>
      </c>
      <c r="K40" s="2"/>
      <c r="L40" s="6">
        <f t="shared" si="22"/>
        <v>-6475.2932000000001</v>
      </c>
      <c r="M40" s="2"/>
      <c r="N40" s="7">
        <f t="shared" si="23"/>
        <v>-0.44730017418979751</v>
      </c>
      <c r="O40" s="11"/>
      <c r="P40" s="6">
        <v>15727.36</v>
      </c>
      <c r="Q40" s="2"/>
      <c r="R40" s="7">
        <f t="shared" si="24"/>
        <v>0.21849297065284379</v>
      </c>
      <c r="S40" s="2"/>
      <c r="T40" s="6">
        <v>29020.5972</v>
      </c>
      <c r="U40" s="2"/>
      <c r="V40" s="7">
        <f t="shared" si="25"/>
        <v>0.54194470858466082</v>
      </c>
      <c r="W40" s="2"/>
      <c r="X40" s="6">
        <f t="shared" si="26"/>
        <v>-13293.2372</v>
      </c>
      <c r="Y40" s="2"/>
      <c r="Z40" s="7">
        <f t="shared" si="27"/>
        <v>-0.45806215180161763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8869.26</v>
      </c>
      <c r="E41" s="2"/>
      <c r="F41" s="7">
        <f t="shared" si="20"/>
        <v>0.16965318809145663</v>
      </c>
      <c r="G41" s="2"/>
      <c r="H41" s="6">
        <v>11127.84</v>
      </c>
      <c r="I41" s="2"/>
      <c r="J41" s="7">
        <f t="shared" si="21"/>
        <v>0.24709863658569081</v>
      </c>
      <c r="K41" s="2"/>
      <c r="L41" s="6">
        <f t="shared" si="22"/>
        <v>-2258.58</v>
      </c>
      <c r="M41" s="2"/>
      <c r="N41" s="7">
        <f t="shared" si="23"/>
        <v>-0.20296661346676442</v>
      </c>
      <c r="O41" s="11"/>
      <c r="P41" s="6">
        <v>12222.65</v>
      </c>
      <c r="Q41" s="2"/>
      <c r="R41" s="7">
        <f t="shared" si="24"/>
        <v>0.1698036484031637</v>
      </c>
      <c r="S41" s="2"/>
      <c r="T41" s="6">
        <v>11575.98</v>
      </c>
      <c r="U41" s="2"/>
      <c r="V41" s="7">
        <f t="shared" si="25"/>
        <v>0.2161754654615399</v>
      </c>
      <c r="W41" s="2"/>
      <c r="X41" s="6">
        <f t="shared" si="26"/>
        <v>646.67000000000007</v>
      </c>
      <c r="Y41" s="2"/>
      <c r="Z41" s="7">
        <f t="shared" si="27"/>
        <v>5.5863088913422454E-2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6">
        <v>12375.48</v>
      </c>
      <c r="E43" s="2"/>
      <c r="F43" s="7">
        <f t="shared" si="20"/>
        <v>0.23672094810187769</v>
      </c>
      <c r="G43" s="2"/>
      <c r="H43" s="6">
        <v>6368.71</v>
      </c>
      <c r="I43" s="2"/>
      <c r="J43" s="7">
        <f t="shared" si="21"/>
        <v>0.14142003819336502</v>
      </c>
      <c r="K43" s="2"/>
      <c r="L43" s="6">
        <f t="shared" si="22"/>
        <v>6006.7699999999995</v>
      </c>
      <c r="M43" s="2"/>
      <c r="N43" s="7">
        <f t="shared" si="23"/>
        <v>0.9431690248103618</v>
      </c>
      <c r="O43" s="11"/>
      <c r="P43" s="6">
        <v>16338.48</v>
      </c>
      <c r="Q43" s="2"/>
      <c r="R43" s="7">
        <f t="shared" si="24"/>
        <v>0.2269829794162577</v>
      </c>
      <c r="S43" s="2"/>
      <c r="T43" s="6">
        <v>6368.71</v>
      </c>
      <c r="U43" s="2"/>
      <c r="V43" s="7">
        <f t="shared" si="25"/>
        <v>0.11893237968963005</v>
      </c>
      <c r="W43" s="2"/>
      <c r="X43" s="6">
        <f t="shared" si="26"/>
        <v>9969.77</v>
      </c>
      <c r="Y43" s="2"/>
      <c r="Z43" s="7">
        <f t="shared" si="27"/>
        <v>1.5654300478432839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3860.78</v>
      </c>
      <c r="I44" s="2"/>
      <c r="J44" s="7">
        <f t="shared" si="21"/>
        <v>8.5730337078651686E-2</v>
      </c>
      <c r="K44" s="2"/>
      <c r="L44" s="6">
        <f t="shared" si="22"/>
        <v>-3860.78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3860.78</v>
      </c>
      <c r="U44" s="2"/>
      <c r="V44" s="7">
        <f t="shared" si="25"/>
        <v>7.2098078395488249E-2</v>
      </c>
      <c r="W44" s="2"/>
      <c r="X44" s="6">
        <f t="shared" si="26"/>
        <v>-3860.78</v>
      </c>
      <c r="Y44" s="2"/>
      <c r="Z44" s="7">
        <f t="shared" si="27"/>
        <v>-1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8" customFormat="1" outlineLevel="1" collapsed="1" x14ac:dyDescent="0.3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47.5</v>
      </c>
      <c r="E47" s="1"/>
      <c r="F47" s="5">
        <f t="shared" ref="F47:F55" si="28">IF(D$12=0,0,D47/D$12)</f>
        <v>9.0859061909834532E-4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47.5</v>
      </c>
      <c r="M47" s="1"/>
      <c r="N47" s="5">
        <f t="shared" ref="N47:N55" si="31">IF(H47=0,0,L47/H47)</f>
        <v>0</v>
      </c>
      <c r="O47" s="14"/>
      <c r="P47" s="1">
        <f>SUM(OSRRefP22_2x_0)</f>
        <v>472.29</v>
      </c>
      <c r="Q47" s="1"/>
      <c r="R47" s="5">
        <f t="shared" ref="R47:R55" si="32">IF(P$12=0,0,P47/P$12)</f>
        <v>6.5613074991372738E-3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472.29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47.5</v>
      </c>
      <c r="E48" s="2"/>
      <c r="F48" s="7">
        <f t="shared" si="28"/>
        <v>9.0859061909834532E-4</v>
      </c>
      <c r="G48" s="2"/>
      <c r="H48" s="6"/>
      <c r="I48" s="2"/>
      <c r="J48" s="7">
        <f t="shared" si="29"/>
        <v>0</v>
      </c>
      <c r="K48" s="2"/>
      <c r="L48" s="6">
        <f t="shared" si="30"/>
        <v>47.5</v>
      </c>
      <c r="M48" s="2"/>
      <c r="N48" s="7">
        <f t="shared" si="31"/>
        <v>0</v>
      </c>
      <c r="O48" s="11"/>
      <c r="P48" s="6">
        <v>472.29</v>
      </c>
      <c r="Q48" s="2"/>
      <c r="R48" s="7">
        <f t="shared" si="32"/>
        <v>6.5613074991372738E-3</v>
      </c>
      <c r="S48" s="2"/>
      <c r="T48" s="6"/>
      <c r="U48" s="2"/>
      <c r="V48" s="7">
        <f t="shared" si="33"/>
        <v>0</v>
      </c>
      <c r="W48" s="2"/>
      <c r="X48" s="6">
        <f t="shared" si="34"/>
        <v>472.29</v>
      </c>
      <c r="Y48" s="2"/>
      <c r="Z48" s="7">
        <f t="shared" si="35"/>
        <v>0</v>
      </c>
    </row>
    <row r="49" spans="1:26" s="28" customFormat="1" outlineLevel="1" collapsed="1" x14ac:dyDescent="0.3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-88.22</v>
      </c>
      <c r="E49" s="1"/>
      <c r="F49" s="5">
        <f t="shared" si="28"/>
        <v>-1.6874918824601268E-3</v>
      </c>
      <c r="G49" s="1"/>
      <c r="H49" s="1">
        <f>SUM(OSRRefH22_3x_0)</f>
        <v>10</v>
      </c>
      <c r="I49" s="1"/>
      <c r="J49" s="5">
        <f t="shared" si="29"/>
        <v>2.2205444775058844E-4</v>
      </c>
      <c r="K49" s="1"/>
      <c r="L49" s="1">
        <f t="shared" si="30"/>
        <v>-98.22</v>
      </c>
      <c r="M49" s="1"/>
      <c r="N49" s="5">
        <f t="shared" si="31"/>
        <v>-9.8219999999999992</v>
      </c>
      <c r="O49" s="14"/>
      <c r="P49" s="1">
        <f>SUM(OSRRefP22_3x_0)</f>
        <v>-107.24</v>
      </c>
      <c r="Q49" s="1"/>
      <c r="R49" s="5">
        <f t="shared" si="32"/>
        <v>-1.4898359402220694E-3</v>
      </c>
      <c r="S49" s="1"/>
      <c r="T49" s="1">
        <f>SUM(OSRRefT22_3x_0)</f>
        <v>20</v>
      </c>
      <c r="U49" s="1"/>
      <c r="V49" s="5">
        <f t="shared" si="33"/>
        <v>3.7348970102149434E-4</v>
      </c>
      <c r="W49" s="1"/>
      <c r="X49" s="1">
        <f t="shared" si="34"/>
        <v>-127.24</v>
      </c>
      <c r="Y49" s="1"/>
      <c r="Z49" s="5">
        <f t="shared" si="35"/>
        <v>-6.3620000000000001</v>
      </c>
    </row>
    <row r="50" spans="1:26" s="24" customFormat="1" hidden="1" outlineLevel="2" x14ac:dyDescent="0.3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-88.22</v>
      </c>
      <c r="E50" s="2"/>
      <c r="F50" s="7">
        <f t="shared" si="28"/>
        <v>-1.6874918824601268E-3</v>
      </c>
      <c r="G50" s="2"/>
      <c r="H50" s="6">
        <v>10</v>
      </c>
      <c r="I50" s="2"/>
      <c r="J50" s="7">
        <f t="shared" si="29"/>
        <v>2.2205444775058844E-4</v>
      </c>
      <c r="K50" s="2"/>
      <c r="L50" s="6">
        <f t="shared" si="30"/>
        <v>-98.22</v>
      </c>
      <c r="M50" s="2"/>
      <c r="N50" s="7">
        <f t="shared" si="31"/>
        <v>-9.8219999999999992</v>
      </c>
      <c r="O50" s="11"/>
      <c r="P50" s="6">
        <v>-107.24</v>
      </c>
      <c r="Q50" s="2"/>
      <c r="R50" s="7">
        <f t="shared" si="32"/>
        <v>-1.4898359402220694E-3</v>
      </c>
      <c r="S50" s="2"/>
      <c r="T50" s="6">
        <v>20</v>
      </c>
      <c r="U50" s="2"/>
      <c r="V50" s="7">
        <f t="shared" si="33"/>
        <v>3.7348970102149434E-4</v>
      </c>
      <c r="W50" s="2"/>
      <c r="X50" s="6">
        <f t="shared" si="34"/>
        <v>-127.24</v>
      </c>
      <c r="Y50" s="2"/>
      <c r="Z50" s="7">
        <f t="shared" si="35"/>
        <v>-6.3620000000000001</v>
      </c>
    </row>
    <row r="51" spans="1:26" s="28" customFormat="1" outlineLevel="1" collapsed="1" x14ac:dyDescent="0.3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2341.4699999999998</v>
      </c>
      <c r="E51" s="1"/>
      <c r="F51" s="5">
        <f t="shared" si="28"/>
        <v>4.4788161618951633E-2</v>
      </c>
      <c r="G51" s="1"/>
      <c r="H51" s="1">
        <f>SUM(OSRRefH22_4x_0)</f>
        <v>2759</v>
      </c>
      <c r="I51" s="1"/>
      <c r="J51" s="5">
        <f t="shared" si="29"/>
        <v>6.1264822134387352E-2</v>
      </c>
      <c r="K51" s="1"/>
      <c r="L51" s="1">
        <f t="shared" si="30"/>
        <v>-417.5300000000002</v>
      </c>
      <c r="M51" s="1"/>
      <c r="N51" s="5">
        <f t="shared" si="31"/>
        <v>-0.15133381660021755</v>
      </c>
      <c r="O51" s="14"/>
      <c r="P51" s="1">
        <f>SUM(OSRRefP22_4x_0)</f>
        <v>3274.72</v>
      </c>
      <c r="Q51" s="1"/>
      <c r="R51" s="5">
        <f t="shared" si="32"/>
        <v>4.5494177080977388E-2</v>
      </c>
      <c r="S51" s="1"/>
      <c r="T51" s="1">
        <f>SUM(OSRRefT22_4x_0)</f>
        <v>3999</v>
      </c>
      <c r="U51" s="1"/>
      <c r="V51" s="5">
        <f t="shared" si="33"/>
        <v>7.4679265719247795E-2</v>
      </c>
      <c r="W51" s="1"/>
      <c r="X51" s="1">
        <f t="shared" si="34"/>
        <v>-724.2800000000002</v>
      </c>
      <c r="Y51" s="1"/>
      <c r="Z51" s="5">
        <f t="shared" si="35"/>
        <v>-0.18111527881970499</v>
      </c>
    </row>
    <row r="52" spans="1:26" s="24" customFormat="1" hidden="1" outlineLevel="2" x14ac:dyDescent="0.3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2341.4699999999998</v>
      </c>
      <c r="E52" s="2"/>
      <c r="F52" s="7">
        <f t="shared" si="28"/>
        <v>4.4788161618951633E-2</v>
      </c>
      <c r="G52" s="2"/>
      <c r="H52" s="6">
        <v>2759</v>
      </c>
      <c r="I52" s="2"/>
      <c r="J52" s="7">
        <f t="shared" si="29"/>
        <v>6.1264822134387352E-2</v>
      </c>
      <c r="K52" s="2"/>
      <c r="L52" s="6">
        <f t="shared" si="30"/>
        <v>-417.5300000000002</v>
      </c>
      <c r="M52" s="2"/>
      <c r="N52" s="7">
        <f t="shared" si="31"/>
        <v>-0.15133381660021755</v>
      </c>
      <c r="O52" s="11"/>
      <c r="P52" s="6">
        <v>3274.72</v>
      </c>
      <c r="Q52" s="2"/>
      <c r="R52" s="7">
        <f t="shared" si="32"/>
        <v>4.5494177080977388E-2</v>
      </c>
      <c r="S52" s="2"/>
      <c r="T52" s="6">
        <v>3999</v>
      </c>
      <c r="U52" s="2"/>
      <c r="V52" s="7">
        <f t="shared" si="33"/>
        <v>7.4679265719247795E-2</v>
      </c>
      <c r="W52" s="2"/>
      <c r="X52" s="6">
        <f t="shared" si="34"/>
        <v>-724.2800000000002</v>
      </c>
      <c r="Y52" s="2"/>
      <c r="Z52" s="7">
        <f t="shared" si="35"/>
        <v>-0.18111527881970499</v>
      </c>
    </row>
    <row r="53" spans="1:26" s="28" customFormat="1" outlineLevel="1" collapsed="1" x14ac:dyDescent="0.3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32826.11</v>
      </c>
      <c r="E53" s="1"/>
      <c r="F53" s="5">
        <f t="shared" si="28"/>
        <v>0.62790517068400808</v>
      </c>
      <c r="G53" s="1"/>
      <c r="H53" s="1">
        <f>SUM(OSRRefH22_5x_0)</f>
        <v>32827</v>
      </c>
      <c r="I53" s="1"/>
      <c r="J53" s="5">
        <f t="shared" si="29"/>
        <v>0.72893813563085663</v>
      </c>
      <c r="K53" s="1"/>
      <c r="L53" s="1">
        <f t="shared" si="30"/>
        <v>-0.88999999999941792</v>
      </c>
      <c r="M53" s="1"/>
      <c r="N53" s="5">
        <f t="shared" si="31"/>
        <v>-2.7111828677595207E-5</v>
      </c>
      <c r="O53" s="14"/>
      <c r="P53" s="1">
        <f>SUM(OSRRefP22_5x_0)</f>
        <v>65652.22</v>
      </c>
      <c r="Q53" s="1"/>
      <c r="R53" s="5">
        <f t="shared" si="32"/>
        <v>0.91207606220968063</v>
      </c>
      <c r="S53" s="1"/>
      <c r="T53" s="1">
        <f>SUM(OSRRefT22_5x_0)</f>
        <v>65654</v>
      </c>
      <c r="U53" s="1"/>
      <c r="V53" s="5">
        <f t="shared" si="33"/>
        <v>1.2260546415432594</v>
      </c>
      <c r="W53" s="1"/>
      <c r="X53" s="1">
        <f t="shared" si="34"/>
        <v>-1.7799999999988358</v>
      </c>
      <c r="Y53" s="1"/>
      <c r="Z53" s="5">
        <f t="shared" si="35"/>
        <v>-2.7111828677595207E-5</v>
      </c>
    </row>
    <row r="54" spans="1:26" s="24" customFormat="1" hidden="1" outlineLevel="2" x14ac:dyDescent="0.3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23583.47</v>
      </c>
      <c r="E54" s="2"/>
      <c r="F54" s="7">
        <f t="shared" si="28"/>
        <v>0.45110988647973171</v>
      </c>
      <c r="G54" s="2"/>
      <c r="H54" s="6"/>
      <c r="I54" s="2"/>
      <c r="J54" s="7">
        <f t="shared" si="29"/>
        <v>0</v>
      </c>
      <c r="K54" s="2"/>
      <c r="L54" s="6">
        <f t="shared" si="30"/>
        <v>23583.47</v>
      </c>
      <c r="M54" s="2"/>
      <c r="N54" s="7">
        <f t="shared" si="31"/>
        <v>0</v>
      </c>
      <c r="O54" s="11"/>
      <c r="P54" s="6">
        <v>47166.94</v>
      </c>
      <c r="Q54" s="2"/>
      <c r="R54" s="7">
        <f t="shared" si="32"/>
        <v>0.65526857890990242</v>
      </c>
      <c r="S54" s="2"/>
      <c r="T54" s="6"/>
      <c r="U54" s="2"/>
      <c r="V54" s="7">
        <f t="shared" si="33"/>
        <v>0</v>
      </c>
      <c r="W54" s="2"/>
      <c r="X54" s="6">
        <f t="shared" si="34"/>
        <v>47166.94</v>
      </c>
      <c r="Y54" s="2"/>
      <c r="Z54" s="7">
        <f t="shared" si="35"/>
        <v>0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9242.64</v>
      </c>
      <c r="E55" s="2"/>
      <c r="F55" s="7">
        <f t="shared" si="28"/>
        <v>0.17679528420427643</v>
      </c>
      <c r="G55" s="2"/>
      <c r="H55" s="6">
        <v>32827</v>
      </c>
      <c r="I55" s="2"/>
      <c r="J55" s="7">
        <f t="shared" si="29"/>
        <v>0.72893813563085663</v>
      </c>
      <c r="K55" s="2"/>
      <c r="L55" s="6">
        <f t="shared" si="30"/>
        <v>-23584.36</v>
      </c>
      <c r="M55" s="2"/>
      <c r="N55" s="7">
        <f t="shared" si="31"/>
        <v>-0.7184439638102782</v>
      </c>
      <c r="O55" s="11"/>
      <c r="P55" s="6">
        <v>18485.28</v>
      </c>
      <c r="Q55" s="2"/>
      <c r="R55" s="7">
        <f t="shared" si="32"/>
        <v>0.25680748329977821</v>
      </c>
      <c r="S55" s="2"/>
      <c r="T55" s="6">
        <v>65654</v>
      </c>
      <c r="U55" s="2"/>
      <c r="V55" s="7">
        <f t="shared" si="33"/>
        <v>1.2260546415432594</v>
      </c>
      <c r="W55" s="2"/>
      <c r="X55" s="6">
        <f t="shared" si="34"/>
        <v>-47168.72</v>
      </c>
      <c r="Y55" s="2"/>
      <c r="Z55" s="7">
        <f t="shared" si="35"/>
        <v>-0.7184439638102782</v>
      </c>
    </row>
    <row r="56" spans="1:26" s="28" customFormat="1" outlineLevel="1" collapsed="1" x14ac:dyDescent="0.3">
      <c r="A56" s="29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18</v>
      </c>
      <c r="E56" s="1"/>
      <c r="F56" s="5">
        <f t="shared" ref="F56:F71" si="36">IF(D$12=0,0,D56/D$12)</f>
        <v>3.4430802407937297E-4</v>
      </c>
      <c r="G56" s="1"/>
      <c r="H56" s="1">
        <f>SUM(OSRRefH22_6x_0)</f>
        <v>40</v>
      </c>
      <c r="I56" s="1"/>
      <c r="J56" s="5">
        <f t="shared" ref="J56:J71" si="37">IF(H$12=0,0,H56/H$12)</f>
        <v>8.8821779100235374E-4</v>
      </c>
      <c r="K56" s="1"/>
      <c r="L56" s="1">
        <f t="shared" ref="L56:L71" si="38">+D56-H56</f>
        <v>-22</v>
      </c>
      <c r="M56" s="1"/>
      <c r="N56" s="5">
        <f t="shared" ref="N56:N71" si="39">IF(H56=0,0,L56/H56)</f>
        <v>-0.55000000000000004</v>
      </c>
      <c r="O56" s="14"/>
      <c r="P56" s="1">
        <f>SUM(OSRRefP22_6x_0)</f>
        <v>18</v>
      </c>
      <c r="Q56" s="1"/>
      <c r="R56" s="5">
        <f t="shared" ref="R56:R71" si="40">IF(P$12=0,0,P56/P$12)</f>
        <v>2.5006571171202211E-4</v>
      </c>
      <c r="S56" s="1"/>
      <c r="T56" s="1">
        <f>SUM(OSRRefT22_6x_0)</f>
        <v>40</v>
      </c>
      <c r="U56" s="1"/>
      <c r="V56" s="5">
        <f t="shared" ref="V56:V71" si="41">IF(T$12=0,0,T56/T$12)</f>
        <v>7.4697940204298868E-4</v>
      </c>
      <c r="W56" s="1"/>
      <c r="X56" s="1">
        <f t="shared" ref="X56:X71" si="42">+P56-T56</f>
        <v>-22</v>
      </c>
      <c r="Y56" s="1"/>
      <c r="Z56" s="5">
        <f t="shared" ref="Z56:Z71" si="43">IF(T56=0,0,X56/T56)</f>
        <v>-0.55000000000000004</v>
      </c>
    </row>
    <row r="57" spans="1:26" s="24" customFormat="1" hidden="1" outlineLevel="2" x14ac:dyDescent="0.3">
      <c r="A57" s="27"/>
      <c r="B57" s="11" t="str">
        <f>CONCATENATE("          ", "6277", " - ", "EMPLOYEE APPRECIATION")</f>
        <v xml:space="preserve">          6277 - EMPLOYEE APPRECIATION</v>
      </c>
      <c r="C57" s="11"/>
      <c r="D57" s="6">
        <v>18</v>
      </c>
      <c r="E57" s="2"/>
      <c r="F57" s="7">
        <f t="shared" si="36"/>
        <v>3.4430802407937297E-4</v>
      </c>
      <c r="G57" s="2"/>
      <c r="H57" s="6">
        <v>40</v>
      </c>
      <c r="I57" s="2"/>
      <c r="J57" s="7">
        <f t="shared" si="37"/>
        <v>8.8821779100235374E-4</v>
      </c>
      <c r="K57" s="2"/>
      <c r="L57" s="6">
        <f t="shared" si="38"/>
        <v>-22</v>
      </c>
      <c r="M57" s="2"/>
      <c r="N57" s="7">
        <f t="shared" si="39"/>
        <v>-0.55000000000000004</v>
      </c>
      <c r="O57" s="11"/>
      <c r="P57" s="6">
        <v>18</v>
      </c>
      <c r="Q57" s="2"/>
      <c r="R57" s="7">
        <f t="shared" si="40"/>
        <v>2.5006571171202211E-4</v>
      </c>
      <c r="S57" s="2"/>
      <c r="T57" s="6">
        <v>40</v>
      </c>
      <c r="U57" s="2"/>
      <c r="V57" s="7">
        <f t="shared" si="41"/>
        <v>7.4697940204298868E-4</v>
      </c>
      <c r="W57" s="2"/>
      <c r="X57" s="6">
        <f t="shared" si="42"/>
        <v>-22</v>
      </c>
      <c r="Y57" s="2"/>
      <c r="Z57" s="7">
        <f t="shared" si="43"/>
        <v>-0.55000000000000004</v>
      </c>
    </row>
    <row r="58" spans="1:26" s="28" customFormat="1" outlineLevel="1" collapsed="1" x14ac:dyDescent="0.3">
      <c r="A58" s="29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SUM(OSRRefD22_7x_0)</f>
        <v>1239.52</v>
      </c>
      <c r="E58" s="1"/>
      <c r="F58" s="5">
        <f t="shared" si="36"/>
        <v>2.370981566704802E-2</v>
      </c>
      <c r="G58" s="1"/>
      <c r="H58" s="1">
        <f>SUM(OSRRefH22_7x_0)</f>
        <v>775</v>
      </c>
      <c r="I58" s="1"/>
      <c r="J58" s="5">
        <f t="shared" si="37"/>
        <v>1.7209219700670606E-2</v>
      </c>
      <c r="K58" s="1"/>
      <c r="L58" s="1">
        <f t="shared" si="38"/>
        <v>464.52</v>
      </c>
      <c r="M58" s="1"/>
      <c r="N58" s="5">
        <f t="shared" si="39"/>
        <v>0.5993806451612903</v>
      </c>
      <c r="O58" s="14"/>
      <c r="P58" s="1">
        <f>SUM(OSRRefP22_7x_0)</f>
        <v>1707.45</v>
      </c>
      <c r="Q58" s="1"/>
      <c r="R58" s="5">
        <f t="shared" si="40"/>
        <v>2.372081663681623E-2</v>
      </c>
      <c r="S58" s="1"/>
      <c r="T58" s="1">
        <f>SUM(OSRRefT22_7x_0)</f>
        <v>1550</v>
      </c>
      <c r="U58" s="1"/>
      <c r="V58" s="5">
        <f t="shared" si="41"/>
        <v>2.8945451829165809E-2</v>
      </c>
      <c r="W58" s="1"/>
      <c r="X58" s="1">
        <f t="shared" si="42"/>
        <v>157.45000000000005</v>
      </c>
      <c r="Y58" s="1"/>
      <c r="Z58" s="5">
        <f t="shared" si="43"/>
        <v>0.10158064516129035</v>
      </c>
    </row>
    <row r="59" spans="1:26" s="24" customFormat="1" hidden="1" outlineLevel="2" x14ac:dyDescent="0.3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1239.52</v>
      </c>
      <c r="E59" s="2"/>
      <c r="F59" s="7">
        <f t="shared" si="36"/>
        <v>2.370981566704802E-2</v>
      </c>
      <c r="G59" s="2"/>
      <c r="H59" s="6">
        <v>775</v>
      </c>
      <c r="I59" s="2"/>
      <c r="J59" s="7">
        <f t="shared" si="37"/>
        <v>1.7209219700670606E-2</v>
      </c>
      <c r="K59" s="2"/>
      <c r="L59" s="6">
        <f t="shared" si="38"/>
        <v>464.52</v>
      </c>
      <c r="M59" s="2"/>
      <c r="N59" s="7">
        <f t="shared" si="39"/>
        <v>0.5993806451612903</v>
      </c>
      <c r="O59" s="11"/>
      <c r="P59" s="6">
        <v>1707.45</v>
      </c>
      <c r="Q59" s="2"/>
      <c r="R59" s="7">
        <f t="shared" si="40"/>
        <v>2.372081663681623E-2</v>
      </c>
      <c r="S59" s="2"/>
      <c r="T59" s="6">
        <v>1550</v>
      </c>
      <c r="U59" s="2"/>
      <c r="V59" s="7">
        <f t="shared" si="41"/>
        <v>2.8945451829165809E-2</v>
      </c>
      <c r="W59" s="2"/>
      <c r="X59" s="6">
        <f t="shared" si="42"/>
        <v>157.45000000000005</v>
      </c>
      <c r="Y59" s="2"/>
      <c r="Z59" s="7">
        <f t="shared" si="43"/>
        <v>0.10158064516129035</v>
      </c>
    </row>
    <row r="60" spans="1:26" s="28" customFormat="1" outlineLevel="1" collapsed="1" x14ac:dyDescent="0.3">
      <c r="A60" s="29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12156.93</v>
      </c>
      <c r="E60" s="1"/>
      <c r="F60" s="5">
        <f t="shared" si="36"/>
        <v>0.23254047484284732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12156.93</v>
      </c>
      <c r="M60" s="1"/>
      <c r="N60" s="5">
        <f t="shared" si="39"/>
        <v>0</v>
      </c>
      <c r="O60" s="14"/>
      <c r="P60" s="1">
        <f>SUM(OSRRefP22_8x_0)</f>
        <v>12322.21</v>
      </c>
      <c r="Q60" s="1"/>
      <c r="R60" s="5">
        <f t="shared" si="40"/>
        <v>0.17118678963972198</v>
      </c>
      <c r="S60" s="1"/>
      <c r="T60" s="1">
        <f>SUM(OSRRefT22_8x_0)</f>
        <v>3235</v>
      </c>
      <c r="U60" s="1"/>
      <c r="V60" s="5">
        <f t="shared" si="41"/>
        <v>6.0411959140226706E-2</v>
      </c>
      <c r="W60" s="1"/>
      <c r="X60" s="1">
        <f t="shared" si="42"/>
        <v>9087.2099999999991</v>
      </c>
      <c r="Y60" s="1"/>
      <c r="Z60" s="5">
        <f t="shared" si="43"/>
        <v>2.8090293663060275</v>
      </c>
    </row>
    <row r="61" spans="1:26" s="24" customFormat="1" hidden="1" outlineLevel="2" x14ac:dyDescent="0.3">
      <c r="A61" s="27"/>
      <c r="B61" s="11" t="str">
        <f>CONCATENATE("          ", "6279", " - ", "GENERAL EXPENSE")</f>
        <v xml:space="preserve">          6279 - GENERAL EXPENSE</v>
      </c>
      <c r="C61" s="11"/>
      <c r="D61" s="6">
        <v>12156.93</v>
      </c>
      <c r="E61" s="2"/>
      <c r="F61" s="7">
        <f t="shared" si="36"/>
        <v>0.23254047484284732</v>
      </c>
      <c r="G61" s="2"/>
      <c r="H61" s="6"/>
      <c r="I61" s="2"/>
      <c r="J61" s="7">
        <f t="shared" si="37"/>
        <v>0</v>
      </c>
      <c r="K61" s="2"/>
      <c r="L61" s="6">
        <f t="shared" si="38"/>
        <v>12156.93</v>
      </c>
      <c r="M61" s="2"/>
      <c r="N61" s="7">
        <f t="shared" si="39"/>
        <v>0</v>
      </c>
      <c r="O61" s="11"/>
      <c r="P61" s="6">
        <v>12322.21</v>
      </c>
      <c r="Q61" s="2"/>
      <c r="R61" s="7">
        <f t="shared" si="40"/>
        <v>0.17118678963972198</v>
      </c>
      <c r="S61" s="2"/>
      <c r="T61" s="6">
        <v>3235</v>
      </c>
      <c r="U61" s="2"/>
      <c r="V61" s="7">
        <f t="shared" si="41"/>
        <v>6.0411959140226706E-2</v>
      </c>
      <c r="W61" s="2"/>
      <c r="X61" s="6">
        <f t="shared" si="42"/>
        <v>9087.2099999999991</v>
      </c>
      <c r="Y61" s="2"/>
      <c r="Z61" s="7">
        <f t="shared" si="43"/>
        <v>2.8090293663060275</v>
      </c>
    </row>
    <row r="62" spans="1:26" s="28" customFormat="1" outlineLevel="1" collapsed="1" x14ac:dyDescent="0.3">
      <c r="A62" s="29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5756.21</v>
      </c>
      <c r="E62" s="1"/>
      <c r="F62" s="5">
        <f t="shared" si="36"/>
        <v>0.11010607173810709</v>
      </c>
      <c r="G62" s="1"/>
      <c r="H62" s="1">
        <f>SUM(OSRRefH22_9x_0)</f>
        <v>5670</v>
      </c>
      <c r="I62" s="1"/>
      <c r="J62" s="5">
        <f t="shared" si="37"/>
        <v>0.12590487187458366</v>
      </c>
      <c r="K62" s="1"/>
      <c r="L62" s="1">
        <f t="shared" si="38"/>
        <v>86.210000000000036</v>
      </c>
      <c r="M62" s="1"/>
      <c r="N62" s="5">
        <f t="shared" si="39"/>
        <v>1.5204585537918877E-2</v>
      </c>
      <c r="O62" s="14"/>
      <c r="P62" s="1">
        <f>SUM(OSRRefP22_9x_0)</f>
        <v>11512.42</v>
      </c>
      <c r="Q62" s="1"/>
      <c r="R62" s="5">
        <f t="shared" si="40"/>
        <v>0.15993675004598432</v>
      </c>
      <c r="S62" s="1"/>
      <c r="T62" s="1">
        <f>SUM(OSRRefT22_9x_0)</f>
        <v>11340</v>
      </c>
      <c r="U62" s="1"/>
      <c r="V62" s="5">
        <f t="shared" si="41"/>
        <v>0.2117686604791873</v>
      </c>
      <c r="W62" s="1"/>
      <c r="X62" s="1">
        <f t="shared" si="42"/>
        <v>172.42000000000007</v>
      </c>
      <c r="Y62" s="1"/>
      <c r="Z62" s="5">
        <f t="shared" si="43"/>
        <v>1.5204585537918877E-2</v>
      </c>
    </row>
    <row r="63" spans="1:26" s="24" customFormat="1" hidden="1" outlineLevel="2" x14ac:dyDescent="0.3">
      <c r="A63" s="27"/>
      <c r="B63" s="11" t="str">
        <f>CONCATENATE("          ", "6314", " - ", "LIABILITY INSURANCE")</f>
        <v xml:space="preserve">          6314 - LIABILITY INSURANCE</v>
      </c>
      <c r="C63" s="11"/>
      <c r="D63" s="6">
        <v>5756.21</v>
      </c>
      <c r="E63" s="2"/>
      <c r="F63" s="7">
        <f t="shared" si="36"/>
        <v>0.11010607173810709</v>
      </c>
      <c r="G63" s="2"/>
      <c r="H63" s="6">
        <v>5670</v>
      </c>
      <c r="I63" s="2"/>
      <c r="J63" s="7">
        <f t="shared" si="37"/>
        <v>0.12590487187458366</v>
      </c>
      <c r="K63" s="2"/>
      <c r="L63" s="6">
        <f t="shared" si="38"/>
        <v>86.210000000000036</v>
      </c>
      <c r="M63" s="2"/>
      <c r="N63" s="7">
        <f t="shared" si="39"/>
        <v>1.5204585537918877E-2</v>
      </c>
      <c r="O63" s="11"/>
      <c r="P63" s="6">
        <v>11512.42</v>
      </c>
      <c r="Q63" s="2"/>
      <c r="R63" s="7">
        <f t="shared" si="40"/>
        <v>0.15993675004598432</v>
      </c>
      <c r="S63" s="2"/>
      <c r="T63" s="6">
        <v>11340</v>
      </c>
      <c r="U63" s="2"/>
      <c r="V63" s="7">
        <f t="shared" si="41"/>
        <v>0.2117686604791873</v>
      </c>
      <c r="W63" s="2"/>
      <c r="X63" s="6">
        <f t="shared" si="42"/>
        <v>172.42000000000007</v>
      </c>
      <c r="Y63" s="2"/>
      <c r="Z63" s="7">
        <f t="shared" si="43"/>
        <v>1.5204585537918877E-2</v>
      </c>
    </row>
    <row r="64" spans="1:26" s="28" customFormat="1" outlineLevel="1" collapsed="1" x14ac:dyDescent="0.3">
      <c r="A64" s="29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SUM(OSRRefD22_10x_0)</f>
        <v>7253</v>
      </c>
      <c r="E64" s="1"/>
      <c r="F64" s="5">
        <f t="shared" si="36"/>
        <v>0.13873700548042733</v>
      </c>
      <c r="G64" s="1"/>
      <c r="H64" s="1">
        <f>SUM(OSRRefH22_10x_0)</f>
        <v>7253</v>
      </c>
      <c r="I64" s="1"/>
      <c r="J64" s="5">
        <f t="shared" si="37"/>
        <v>0.16105609095350179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SUM(OSRRefP22_10x_0)</f>
        <v>14506</v>
      </c>
      <c r="Q64" s="1"/>
      <c r="R64" s="5">
        <f t="shared" si="40"/>
        <v>0.2015251785608107</v>
      </c>
      <c r="S64" s="1"/>
      <c r="T64" s="1">
        <f>SUM(OSRRefT22_10x_0)</f>
        <v>14506</v>
      </c>
      <c r="U64" s="1"/>
      <c r="V64" s="5">
        <f t="shared" si="41"/>
        <v>0.27089208015088984</v>
      </c>
      <c r="W64" s="1"/>
      <c r="X64" s="1">
        <f t="shared" si="42"/>
        <v>0</v>
      </c>
      <c r="Y64" s="1"/>
      <c r="Z64" s="5">
        <f t="shared" si="43"/>
        <v>0</v>
      </c>
    </row>
    <row r="65" spans="1:26" s="24" customFormat="1" hidden="1" outlineLevel="2" x14ac:dyDescent="0.3">
      <c r="A65" s="27"/>
      <c r="B65" s="11" t="str">
        <f>CONCATENATE("          ", "6401", " - ", "INTEREST EXPENSE")</f>
        <v xml:space="preserve">          6401 - INTEREST EXPENSE</v>
      </c>
      <c r="C65" s="11"/>
      <c r="D65" s="6">
        <v>7253</v>
      </c>
      <c r="E65" s="2"/>
      <c r="F65" s="7">
        <f t="shared" si="36"/>
        <v>0.13873700548042733</v>
      </c>
      <c r="G65" s="2"/>
      <c r="H65" s="6">
        <v>7253</v>
      </c>
      <c r="I65" s="2"/>
      <c r="J65" s="7">
        <f t="shared" si="37"/>
        <v>0.16105609095350179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14506</v>
      </c>
      <c r="Q65" s="2"/>
      <c r="R65" s="7">
        <f t="shared" si="40"/>
        <v>0.2015251785608107</v>
      </c>
      <c r="S65" s="2"/>
      <c r="T65" s="6">
        <v>14506</v>
      </c>
      <c r="U65" s="2"/>
      <c r="V65" s="7">
        <f t="shared" si="41"/>
        <v>0.27089208015088984</v>
      </c>
      <c r="W65" s="2"/>
      <c r="X65" s="6">
        <f t="shared" si="42"/>
        <v>0</v>
      </c>
      <c r="Y65" s="2"/>
      <c r="Z65" s="7">
        <f t="shared" si="43"/>
        <v>0</v>
      </c>
    </row>
    <row r="66" spans="1:26" s="28" customFormat="1" outlineLevel="1" collapsed="1" x14ac:dyDescent="0.3">
      <c r="A66" s="29"/>
      <c r="B66" s="14" t="str">
        <f>CONCATENATE("     ","Rent                                              ")</f>
        <v xml:space="preserve">     Rent                                              </v>
      </c>
      <c r="C66" s="14"/>
      <c r="D66" s="1">
        <f>SUM(OSRRefD22_11x_0)</f>
        <v>1850</v>
      </c>
      <c r="E66" s="1"/>
      <c r="F66" s="5">
        <f t="shared" si="36"/>
        <v>3.5387213585935558E-2</v>
      </c>
      <c r="G66" s="1"/>
      <c r="H66" s="1">
        <f>SUM(OSRRefH22_11x_0)</f>
        <v>1850</v>
      </c>
      <c r="I66" s="1"/>
      <c r="J66" s="5">
        <f t="shared" si="37"/>
        <v>4.1080072833858859E-2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SUM(OSRRefP22_11x_0)</f>
        <v>3700</v>
      </c>
      <c r="Q66" s="1"/>
      <c r="R66" s="5">
        <f t="shared" si="40"/>
        <v>5.1402396296360099E-2</v>
      </c>
      <c r="S66" s="1"/>
      <c r="T66" s="1">
        <f>SUM(OSRRefT22_11x_0)</f>
        <v>3700</v>
      </c>
      <c r="U66" s="1"/>
      <c r="V66" s="5">
        <f t="shared" si="41"/>
        <v>6.9095594688976456E-2</v>
      </c>
      <c r="W66" s="1"/>
      <c r="X66" s="1">
        <f t="shared" si="42"/>
        <v>0</v>
      </c>
      <c r="Y66" s="1"/>
      <c r="Z66" s="5">
        <f t="shared" si="43"/>
        <v>0</v>
      </c>
    </row>
    <row r="67" spans="1:26" s="24" customFormat="1" hidden="1" outlineLevel="2" x14ac:dyDescent="0.3">
      <c r="A67" s="27"/>
      <c r="B67" s="11" t="str">
        <f>CONCATENATE("          ", "6273", " - ", "RENT")</f>
        <v xml:space="preserve">          6273 - RENT</v>
      </c>
      <c r="C67" s="11"/>
      <c r="D67" s="6">
        <v>1850</v>
      </c>
      <c r="E67" s="2"/>
      <c r="F67" s="7">
        <f t="shared" si="36"/>
        <v>3.5387213585935558E-2</v>
      </c>
      <c r="G67" s="2"/>
      <c r="H67" s="6">
        <v>1850</v>
      </c>
      <c r="I67" s="2"/>
      <c r="J67" s="7">
        <f t="shared" si="37"/>
        <v>4.1080072833858859E-2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3700</v>
      </c>
      <c r="Q67" s="2"/>
      <c r="R67" s="7">
        <f t="shared" si="40"/>
        <v>5.1402396296360099E-2</v>
      </c>
      <c r="S67" s="2"/>
      <c r="T67" s="6">
        <v>3700</v>
      </c>
      <c r="U67" s="2"/>
      <c r="V67" s="7">
        <f t="shared" si="41"/>
        <v>6.9095594688976456E-2</v>
      </c>
      <c r="W67" s="2"/>
      <c r="X67" s="6">
        <f t="shared" si="42"/>
        <v>0</v>
      </c>
      <c r="Y67" s="2"/>
      <c r="Z67" s="7">
        <f t="shared" si="43"/>
        <v>0</v>
      </c>
    </row>
    <row r="68" spans="1:26" s="28" customFormat="1" outlineLevel="1" collapsed="1" x14ac:dyDescent="0.3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22493.54</v>
      </c>
      <c r="E68" s="1"/>
      <c r="F68" s="5">
        <f t="shared" si="36"/>
        <v>0.43026146177501884</v>
      </c>
      <c r="G68" s="1"/>
      <c r="H68" s="1">
        <f>SUM(OSRRefH22_12x_0)</f>
        <v>1637</v>
      </c>
      <c r="I68" s="1"/>
      <c r="J68" s="5">
        <f t="shared" si="37"/>
        <v>3.6350313096771329E-2</v>
      </c>
      <c r="K68" s="1"/>
      <c r="L68" s="1">
        <f t="shared" si="38"/>
        <v>20856.54</v>
      </c>
      <c r="M68" s="1"/>
      <c r="N68" s="5">
        <f t="shared" si="39"/>
        <v>12.740708613317043</v>
      </c>
      <c r="O68" s="14"/>
      <c r="P68" s="1">
        <f>SUM(OSRRefP22_12x_0)</f>
        <v>25625.25</v>
      </c>
      <c r="Q68" s="1"/>
      <c r="R68" s="5">
        <f t="shared" si="40"/>
        <v>0.35599979883602745</v>
      </c>
      <c r="S68" s="1"/>
      <c r="T68" s="1">
        <f>SUM(OSRRefT22_12x_0)</f>
        <v>14004</v>
      </c>
      <c r="U68" s="1"/>
      <c r="V68" s="5">
        <f t="shared" si="41"/>
        <v>0.26151748865525032</v>
      </c>
      <c r="W68" s="1"/>
      <c r="X68" s="1">
        <f t="shared" si="42"/>
        <v>11621.25</v>
      </c>
      <c r="Y68" s="1"/>
      <c r="Z68" s="5">
        <f t="shared" si="43"/>
        <v>0.82985218508997427</v>
      </c>
    </row>
    <row r="69" spans="1:26" s="24" customFormat="1" hidden="1" outlineLevel="2" x14ac:dyDescent="0.3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6">
        <v>5177.72</v>
      </c>
      <c r="E69" s="2"/>
      <c r="F69" s="7">
        <f t="shared" si="36"/>
        <v>9.9040585690902835E-2</v>
      </c>
      <c r="G69" s="2"/>
      <c r="H69" s="6"/>
      <c r="I69" s="2"/>
      <c r="J69" s="7">
        <f t="shared" si="37"/>
        <v>0</v>
      </c>
      <c r="K69" s="2"/>
      <c r="L69" s="6">
        <f t="shared" si="38"/>
        <v>5177.72</v>
      </c>
      <c r="M69" s="2"/>
      <c r="N69" s="7">
        <f t="shared" si="39"/>
        <v>0</v>
      </c>
      <c r="O69" s="11"/>
      <c r="P69" s="6">
        <v>5177.72</v>
      </c>
      <c r="Q69" s="2"/>
      <c r="R69" s="7">
        <f t="shared" si="40"/>
        <v>7.1931679824753958E-2</v>
      </c>
      <c r="S69" s="2"/>
      <c r="T69" s="6"/>
      <c r="U69" s="2"/>
      <c r="V69" s="7">
        <f t="shared" si="41"/>
        <v>0</v>
      </c>
      <c r="W69" s="2"/>
      <c r="X69" s="6">
        <f t="shared" si="42"/>
        <v>5177.72</v>
      </c>
      <c r="Y69" s="2"/>
      <c r="Z69" s="7">
        <f t="shared" si="43"/>
        <v>0</v>
      </c>
    </row>
    <row r="70" spans="1:26" s="24" customFormat="1" hidden="1" outlineLevel="2" x14ac:dyDescent="0.3">
      <c r="A70" s="27"/>
      <c r="B70" s="11" t="str">
        <f>CONCATENATE("          ", "6373", " - ", "MAINTENANCE CONTRACTS")</f>
        <v xml:space="preserve">          6373 - MAINTENANCE CONTRACTS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0.87</v>
      </c>
      <c r="Q70" s="2"/>
      <c r="R70" s="7">
        <f t="shared" si="40"/>
        <v>1.2086509399414402E-5</v>
      </c>
      <c r="S70" s="2"/>
      <c r="T70" s="6">
        <v>1030</v>
      </c>
      <c r="U70" s="2"/>
      <c r="V70" s="7">
        <f t="shared" si="41"/>
        <v>1.9234719602606958E-2</v>
      </c>
      <c r="W70" s="2"/>
      <c r="X70" s="6">
        <f t="shared" si="42"/>
        <v>-1029.1300000000001</v>
      </c>
      <c r="Y70" s="2"/>
      <c r="Z70" s="7">
        <f t="shared" si="43"/>
        <v>-0.99915533980582538</v>
      </c>
    </row>
    <row r="71" spans="1:26" s="24" customFormat="1" hidden="1" outlineLevel="2" x14ac:dyDescent="0.3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17315.82</v>
      </c>
      <c r="E71" s="2"/>
      <c r="F71" s="7">
        <f t="shared" si="36"/>
        <v>0.33122087608411599</v>
      </c>
      <c r="G71" s="2"/>
      <c r="H71" s="6">
        <v>1637</v>
      </c>
      <c r="I71" s="2"/>
      <c r="J71" s="7">
        <f t="shared" si="37"/>
        <v>3.6350313096771329E-2</v>
      </c>
      <c r="K71" s="2"/>
      <c r="L71" s="6">
        <f t="shared" si="38"/>
        <v>15678.82</v>
      </c>
      <c r="M71" s="2"/>
      <c r="N71" s="7">
        <f t="shared" si="39"/>
        <v>9.5777764202810012</v>
      </c>
      <c r="O71" s="11"/>
      <c r="P71" s="6">
        <v>20446.66</v>
      </c>
      <c r="Q71" s="2"/>
      <c r="R71" s="7">
        <f t="shared" si="40"/>
        <v>0.28405603250187411</v>
      </c>
      <c r="S71" s="2"/>
      <c r="T71" s="6">
        <v>12974</v>
      </c>
      <c r="U71" s="2"/>
      <c r="V71" s="7">
        <f t="shared" si="41"/>
        <v>0.24228276905264337</v>
      </c>
      <c r="W71" s="2"/>
      <c r="X71" s="6">
        <f t="shared" si="42"/>
        <v>7472.66</v>
      </c>
      <c r="Y71" s="2"/>
      <c r="Z71" s="7">
        <f t="shared" si="43"/>
        <v>0.57597194388777551</v>
      </c>
    </row>
    <row r="72" spans="1:26" s="28" customFormat="1" outlineLevel="1" collapsed="1" x14ac:dyDescent="0.3">
      <c r="A72" s="29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16013.769999999999</v>
      </c>
      <c r="E72" s="1"/>
      <c r="F72" s="5">
        <f t="shared" ref="F72:F77" si="44">IF(D$12=0,0,D72/D$12)</f>
        <v>0.30631497259786333</v>
      </c>
      <c r="G72" s="1"/>
      <c r="H72" s="1">
        <f>SUM(OSRRefH22_13x_0)</f>
        <v>11065</v>
      </c>
      <c r="I72" s="1"/>
      <c r="J72" s="5">
        <f t="shared" ref="J72:J77" si="45">IF(H$12=0,0,H72/H$12)</f>
        <v>0.24570324643602612</v>
      </c>
      <c r="K72" s="1"/>
      <c r="L72" s="1">
        <f t="shared" ref="L72:L77" si="46">+D72-H72</f>
        <v>4948.7699999999986</v>
      </c>
      <c r="M72" s="1"/>
      <c r="N72" s="5">
        <f t="shared" ref="N72:N77" si="47">IF(H72=0,0,L72/H72)</f>
        <v>0.44724536827835504</v>
      </c>
      <c r="O72" s="14"/>
      <c r="P72" s="1">
        <f>SUM(OSRRefP22_13x_0)</f>
        <v>20603</v>
      </c>
      <c r="Q72" s="1"/>
      <c r="R72" s="5">
        <f t="shared" ref="R72:R77" si="48">IF(P$12=0,0,P72/P$12)</f>
        <v>0.28622799213348843</v>
      </c>
      <c r="S72" s="1"/>
      <c r="T72" s="1">
        <f>SUM(OSRRefT22_13x_0)</f>
        <v>16994</v>
      </c>
      <c r="U72" s="1"/>
      <c r="V72" s="5">
        <f t="shared" ref="V72:V77" si="49">IF(T$12=0,0,T72/T$12)</f>
        <v>0.31735419895796374</v>
      </c>
      <c r="W72" s="1"/>
      <c r="X72" s="1">
        <f t="shared" ref="X72:X77" si="50">+P72-T72</f>
        <v>3609</v>
      </c>
      <c r="Y72" s="1"/>
      <c r="Z72" s="5">
        <f t="shared" ref="Z72:Z77" si="51">IF(T72=0,0,X72/T72)</f>
        <v>0.21236907143697775</v>
      </c>
    </row>
    <row r="73" spans="1:26" s="24" customFormat="1" hidden="1" outlineLevel="2" x14ac:dyDescent="0.3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1021.65</v>
      </c>
      <c r="E73" s="2"/>
      <c r="F73" s="7">
        <f t="shared" si="44"/>
        <v>1.9542349600038412E-2</v>
      </c>
      <c r="G73" s="2"/>
      <c r="H73" s="6">
        <v>1178</v>
      </c>
      <c r="I73" s="2"/>
      <c r="J73" s="7">
        <f t="shared" si="45"/>
        <v>2.6158013945019317E-2</v>
      </c>
      <c r="K73" s="2"/>
      <c r="L73" s="6">
        <f t="shared" si="46"/>
        <v>-156.35000000000002</v>
      </c>
      <c r="M73" s="2"/>
      <c r="N73" s="7">
        <f t="shared" si="47"/>
        <v>-0.1327249575551783</v>
      </c>
      <c r="O73" s="11"/>
      <c r="P73" s="6">
        <v>1691.75</v>
      </c>
      <c r="Q73" s="2"/>
      <c r="R73" s="7">
        <f t="shared" si="48"/>
        <v>2.3502703766045189E-2</v>
      </c>
      <c r="S73" s="2"/>
      <c r="T73" s="6">
        <v>2156</v>
      </c>
      <c r="U73" s="2"/>
      <c r="V73" s="7">
        <f t="shared" si="49"/>
        <v>4.0262189770117092E-2</v>
      </c>
      <c r="W73" s="2"/>
      <c r="X73" s="6">
        <f t="shared" si="50"/>
        <v>-464.25</v>
      </c>
      <c r="Y73" s="2"/>
      <c r="Z73" s="7">
        <f t="shared" si="51"/>
        <v>-0.21532931354359927</v>
      </c>
    </row>
    <row r="74" spans="1:26" s="24" customFormat="1" hidden="1" outlineLevel="2" x14ac:dyDescent="0.3">
      <c r="A74" s="27"/>
      <c r="B74" s="11" t="str">
        <f>CONCATENATE("          ", "6283", " - ", "PLANT SERVICE")</f>
        <v xml:space="preserve">          6283 - PLANT SERVICE</v>
      </c>
      <c r="C74" s="11"/>
      <c r="D74" s="6"/>
      <c r="E74" s="2"/>
      <c r="F74" s="7">
        <f t="shared" si="44"/>
        <v>0</v>
      </c>
      <c r="G74" s="2"/>
      <c r="H74" s="6">
        <v>100</v>
      </c>
      <c r="I74" s="2"/>
      <c r="J74" s="7">
        <f t="shared" si="45"/>
        <v>2.2205444775058843E-3</v>
      </c>
      <c r="K74" s="2"/>
      <c r="L74" s="6">
        <f t="shared" si="46"/>
        <v>-100</v>
      </c>
      <c r="M74" s="2"/>
      <c r="N74" s="7">
        <f t="shared" si="47"/>
        <v>-1</v>
      </c>
      <c r="O74" s="11"/>
      <c r="P74" s="6"/>
      <c r="Q74" s="2"/>
      <c r="R74" s="7">
        <f t="shared" si="48"/>
        <v>0</v>
      </c>
      <c r="S74" s="2"/>
      <c r="T74" s="6">
        <v>200</v>
      </c>
      <c r="U74" s="2"/>
      <c r="V74" s="7">
        <f t="shared" si="49"/>
        <v>3.7348970102149435E-3</v>
      </c>
      <c r="W74" s="2"/>
      <c r="X74" s="6">
        <f t="shared" si="50"/>
        <v>-200</v>
      </c>
      <c r="Y74" s="2"/>
      <c r="Z74" s="7">
        <f t="shared" si="51"/>
        <v>-1</v>
      </c>
    </row>
    <row r="75" spans="1:26" s="24" customFormat="1" hidden="1" outlineLevel="2" x14ac:dyDescent="0.3">
      <c r="A75" s="27"/>
      <c r="B75" s="11" t="str">
        <f>CONCATENATE("          ", "6284", " - ", "TRASH REMOVAL EXPENSE")</f>
        <v xml:space="preserve">          6284 - TRASH REMOVAL EXPENSE</v>
      </c>
      <c r="C75" s="11"/>
      <c r="D75" s="6"/>
      <c r="E75" s="2"/>
      <c r="F75" s="7">
        <f t="shared" si="44"/>
        <v>0</v>
      </c>
      <c r="G75" s="2"/>
      <c r="H75" s="6">
        <v>1000</v>
      </c>
      <c r="I75" s="2"/>
      <c r="J75" s="7">
        <f t="shared" si="45"/>
        <v>2.2205444775058845E-2</v>
      </c>
      <c r="K75" s="2"/>
      <c r="L75" s="6">
        <f t="shared" si="46"/>
        <v>-1000</v>
      </c>
      <c r="M75" s="2"/>
      <c r="N75" s="7">
        <f t="shared" si="47"/>
        <v>-1</v>
      </c>
      <c r="O75" s="11"/>
      <c r="P75" s="6"/>
      <c r="Q75" s="2"/>
      <c r="R75" s="7">
        <f t="shared" si="48"/>
        <v>0</v>
      </c>
      <c r="S75" s="2"/>
      <c r="T75" s="6">
        <v>2000</v>
      </c>
      <c r="U75" s="2"/>
      <c r="V75" s="7">
        <f t="shared" si="49"/>
        <v>3.734897010214943E-2</v>
      </c>
      <c r="W75" s="2"/>
      <c r="X75" s="6">
        <f t="shared" si="50"/>
        <v>-2000</v>
      </c>
      <c r="Y75" s="2"/>
      <c r="Z75" s="7">
        <f t="shared" si="51"/>
        <v>-1</v>
      </c>
    </row>
    <row r="76" spans="1:26" s="24" customFormat="1" hidden="1" outlineLevel="2" x14ac:dyDescent="0.3">
      <c r="A76" s="27"/>
      <c r="B76" s="11" t="str">
        <f>CONCATENATE("          ", "6285", " - ", "JANITORIAL SERVICES")</f>
        <v xml:space="preserve">          6285 - JANITORIAL SERVICES</v>
      </c>
      <c r="C76" s="11"/>
      <c r="D76" s="6">
        <v>14832.38</v>
      </c>
      <c r="E76" s="2"/>
      <c r="F76" s="7">
        <f t="shared" si="44"/>
        <v>0.28371708056635608</v>
      </c>
      <c r="G76" s="2"/>
      <c r="H76" s="6">
        <v>8224</v>
      </c>
      <c r="I76" s="2"/>
      <c r="J76" s="7">
        <f t="shared" si="45"/>
        <v>0.18261757783008395</v>
      </c>
      <c r="K76" s="2"/>
      <c r="L76" s="6">
        <f t="shared" si="46"/>
        <v>6608.3799999999992</v>
      </c>
      <c r="M76" s="2"/>
      <c r="N76" s="7">
        <f t="shared" si="47"/>
        <v>0.80354815175097272</v>
      </c>
      <c r="O76" s="11"/>
      <c r="P76" s="6">
        <v>18591.77</v>
      </c>
      <c r="Q76" s="2"/>
      <c r="R76" s="7">
        <f t="shared" si="48"/>
        <v>0.25828689983534564</v>
      </c>
      <c r="S76" s="2"/>
      <c r="T76" s="6">
        <v>11265</v>
      </c>
      <c r="U76" s="2"/>
      <c r="V76" s="7">
        <f t="shared" si="49"/>
        <v>0.21036807410035668</v>
      </c>
      <c r="W76" s="2"/>
      <c r="X76" s="6">
        <f t="shared" si="50"/>
        <v>7326.77</v>
      </c>
      <c r="Y76" s="2"/>
      <c r="Z76" s="7">
        <f t="shared" si="51"/>
        <v>0.65040124278739464</v>
      </c>
    </row>
    <row r="77" spans="1:26" s="24" customFormat="1" hidden="1" outlineLevel="2" x14ac:dyDescent="0.3">
      <c r="A77" s="27"/>
      <c r="B77" s="11" t="str">
        <f>CONCATENATE("          ", "6286", " - ", "LAUNDRY EXPENSE")</f>
        <v xml:space="preserve">          6286 - LAUNDRY EXPENSE</v>
      </c>
      <c r="C77" s="11"/>
      <c r="D77" s="6">
        <v>159.74</v>
      </c>
      <c r="E77" s="2"/>
      <c r="F77" s="7">
        <f t="shared" si="44"/>
        <v>3.0555424314688356E-3</v>
      </c>
      <c r="G77" s="2"/>
      <c r="H77" s="6">
        <v>563</v>
      </c>
      <c r="I77" s="2"/>
      <c r="J77" s="7">
        <f t="shared" si="45"/>
        <v>1.2501665408358129E-2</v>
      </c>
      <c r="K77" s="2"/>
      <c r="L77" s="6">
        <f t="shared" si="46"/>
        <v>-403.26</v>
      </c>
      <c r="M77" s="2"/>
      <c r="N77" s="7">
        <f t="shared" si="47"/>
        <v>-0.71626998223801064</v>
      </c>
      <c r="O77" s="11"/>
      <c r="P77" s="6">
        <v>319.48</v>
      </c>
      <c r="Q77" s="2"/>
      <c r="R77" s="7">
        <f t="shared" si="48"/>
        <v>4.4383885320976009E-3</v>
      </c>
      <c r="S77" s="2"/>
      <c r="T77" s="6">
        <v>1373</v>
      </c>
      <c r="U77" s="2"/>
      <c r="V77" s="7">
        <f t="shared" si="49"/>
        <v>2.5640067975125587E-2</v>
      </c>
      <c r="W77" s="2"/>
      <c r="X77" s="6">
        <f t="shared" si="50"/>
        <v>-1053.52</v>
      </c>
      <c r="Y77" s="2"/>
      <c r="Z77" s="7">
        <f t="shared" si="51"/>
        <v>-0.76731245447924257</v>
      </c>
    </row>
    <row r="78" spans="1:26" s="28" customFormat="1" outlineLevel="1" collapsed="1" x14ac:dyDescent="0.3">
      <c r="A78" s="29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SUM(OSRRefD22_14x_0)</f>
        <v>593.59</v>
      </c>
      <c r="E78" s="1"/>
      <c r="F78" s="5">
        <f t="shared" ref="F78:F89" si="52">IF(D$12=0,0,D78/D$12)</f>
        <v>1.1354322222959724E-2</v>
      </c>
      <c r="G78" s="1"/>
      <c r="H78" s="1">
        <f>SUM(OSRRefH22_14x_0)</f>
        <v>610</v>
      </c>
      <c r="I78" s="1"/>
      <c r="J78" s="5">
        <f t="shared" ref="J78:J89" si="53">IF(H$12=0,0,H78/H$12)</f>
        <v>1.3545321312785895E-2</v>
      </c>
      <c r="K78" s="1"/>
      <c r="L78" s="1">
        <f t="shared" ref="L78:L89" si="54">+D78-H78</f>
        <v>-16.409999999999968</v>
      </c>
      <c r="M78" s="1"/>
      <c r="N78" s="5">
        <f t="shared" ref="N78:N89" si="55">IF(H78=0,0,L78/H78)</f>
        <v>-2.6901639344262242E-2</v>
      </c>
      <c r="O78" s="14"/>
      <c r="P78" s="1">
        <f>SUM(OSRRefP22_14x_0)</f>
        <v>724.26</v>
      </c>
      <c r="Q78" s="1"/>
      <c r="R78" s="5">
        <f t="shared" ref="R78:R89" si="56">IF(P$12=0,0,P78/P$12)</f>
        <v>1.0061810686919396E-2</v>
      </c>
      <c r="S78" s="1"/>
      <c r="T78" s="1">
        <f>SUM(OSRRefT22_14x_0)</f>
        <v>990</v>
      </c>
      <c r="U78" s="1"/>
      <c r="V78" s="5">
        <f t="shared" ref="V78:V89" si="57">IF(T$12=0,0,T78/T$12)</f>
        <v>1.8487740200563971E-2</v>
      </c>
      <c r="W78" s="1"/>
      <c r="X78" s="1">
        <f t="shared" ref="X78:X89" si="58">+P78-T78</f>
        <v>-265.74</v>
      </c>
      <c r="Y78" s="1"/>
      <c r="Z78" s="5">
        <f t="shared" ref="Z78:Z89" si="59">IF(T78=0,0,X78/T78)</f>
        <v>-0.26842424242424245</v>
      </c>
    </row>
    <row r="79" spans="1:26" s="24" customFormat="1" hidden="1" outlineLevel="2" x14ac:dyDescent="0.3">
      <c r="A79" s="27"/>
      <c r="B79" s="11" t="str">
        <f>CONCATENATE("          ", "6275", " - ", "SUBSCRIPTIONS")</f>
        <v xml:space="preserve">          6275 - SUBSCRIPTIONS</v>
      </c>
      <c r="C79" s="11"/>
      <c r="D79" s="6">
        <v>593.59</v>
      </c>
      <c r="E79" s="2"/>
      <c r="F79" s="7">
        <f t="shared" si="52"/>
        <v>1.1354322222959724E-2</v>
      </c>
      <c r="G79" s="2"/>
      <c r="H79" s="6">
        <v>610</v>
      </c>
      <c r="I79" s="2"/>
      <c r="J79" s="7">
        <f t="shared" si="53"/>
        <v>1.3545321312785895E-2</v>
      </c>
      <c r="K79" s="2"/>
      <c r="L79" s="6">
        <f t="shared" si="54"/>
        <v>-16.409999999999968</v>
      </c>
      <c r="M79" s="2"/>
      <c r="N79" s="7">
        <f t="shared" si="55"/>
        <v>-2.6901639344262242E-2</v>
      </c>
      <c r="O79" s="11"/>
      <c r="P79" s="6">
        <v>724.26</v>
      </c>
      <c r="Q79" s="2"/>
      <c r="R79" s="7">
        <f t="shared" si="56"/>
        <v>1.0061810686919396E-2</v>
      </c>
      <c r="S79" s="2"/>
      <c r="T79" s="6">
        <v>990</v>
      </c>
      <c r="U79" s="2"/>
      <c r="V79" s="7">
        <f t="shared" si="57"/>
        <v>1.8487740200563971E-2</v>
      </c>
      <c r="W79" s="2"/>
      <c r="X79" s="6">
        <f t="shared" si="58"/>
        <v>-265.74</v>
      </c>
      <c r="Y79" s="2"/>
      <c r="Z79" s="7">
        <f t="shared" si="59"/>
        <v>-0.26842424242424245</v>
      </c>
    </row>
    <row r="80" spans="1:26" s="28" customFormat="1" outlineLevel="1" collapsed="1" x14ac:dyDescent="0.3">
      <c r="A80" s="29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SUM(OSRRefD22_15x_0)</f>
        <v>3121.12</v>
      </c>
      <c r="E80" s="1"/>
      <c r="F80" s="5">
        <f t="shared" si="52"/>
        <v>5.9701481117478472E-2</v>
      </c>
      <c r="G80" s="1"/>
      <c r="H80" s="1">
        <f>SUM(OSRRefH22_15x_0)</f>
        <v>6679</v>
      </c>
      <c r="I80" s="1"/>
      <c r="J80" s="5">
        <f t="shared" si="53"/>
        <v>0.14831016565261801</v>
      </c>
      <c r="K80" s="1"/>
      <c r="L80" s="1">
        <f t="shared" si="54"/>
        <v>-3557.88</v>
      </c>
      <c r="M80" s="1"/>
      <c r="N80" s="5">
        <f t="shared" si="55"/>
        <v>-0.53269651145381047</v>
      </c>
      <c r="O80" s="14"/>
      <c r="P80" s="1">
        <f>SUM(OSRRefP22_15x_0)</f>
        <v>4851.5300000000007</v>
      </c>
      <c r="Q80" s="1"/>
      <c r="R80" s="5">
        <f t="shared" si="56"/>
        <v>6.7400072352345936E-2</v>
      </c>
      <c r="S80" s="1"/>
      <c r="T80" s="1">
        <f>SUM(OSRRefT22_15x_0)</f>
        <v>15718</v>
      </c>
      <c r="U80" s="1"/>
      <c r="V80" s="5">
        <f t="shared" si="57"/>
        <v>0.2935255560327924</v>
      </c>
      <c r="W80" s="1"/>
      <c r="X80" s="1">
        <f t="shared" si="58"/>
        <v>-10866.47</v>
      </c>
      <c r="Y80" s="1"/>
      <c r="Z80" s="5">
        <f t="shared" si="59"/>
        <v>-0.69133922890953048</v>
      </c>
    </row>
    <row r="81" spans="1:26" s="24" customFormat="1" hidden="1" outlineLevel="2" x14ac:dyDescent="0.3">
      <c r="A81" s="27"/>
      <c r="B81" s="11" t="str">
        <f>CONCATENATE("          ", "6235", " - ", "COVID-19 EXPENSES")</f>
        <v xml:space="preserve">          6235 - COVID-19 EXPENSES</v>
      </c>
      <c r="C81" s="11"/>
      <c r="D81" s="6"/>
      <c r="E81" s="2"/>
      <c r="F81" s="7">
        <f t="shared" si="52"/>
        <v>0</v>
      </c>
      <c r="G81" s="2"/>
      <c r="H81" s="6">
        <v>250</v>
      </c>
      <c r="I81" s="2"/>
      <c r="J81" s="7">
        <f t="shared" si="53"/>
        <v>5.5513611937647112E-3</v>
      </c>
      <c r="K81" s="2"/>
      <c r="L81" s="6">
        <f t="shared" si="54"/>
        <v>-250</v>
      </c>
      <c r="M81" s="2"/>
      <c r="N81" s="7">
        <f t="shared" si="55"/>
        <v>-1</v>
      </c>
      <c r="O81" s="11"/>
      <c r="P81" s="6"/>
      <c r="Q81" s="2"/>
      <c r="R81" s="7">
        <f t="shared" si="56"/>
        <v>0</v>
      </c>
      <c r="S81" s="2"/>
      <c r="T81" s="6">
        <v>750</v>
      </c>
      <c r="U81" s="2"/>
      <c r="V81" s="7">
        <f t="shared" si="57"/>
        <v>1.4005863788306037E-2</v>
      </c>
      <c r="W81" s="2"/>
      <c r="X81" s="6">
        <f t="shared" si="58"/>
        <v>-750</v>
      </c>
      <c r="Y81" s="2"/>
      <c r="Z81" s="7">
        <f t="shared" si="59"/>
        <v>-1</v>
      </c>
    </row>
    <row r="82" spans="1:26" s="24" customFormat="1" hidden="1" outlineLevel="2" x14ac:dyDescent="0.3">
      <c r="A82" s="27"/>
      <c r="B82" s="11" t="str">
        <f>CONCATENATE("          ", "6237", " - ", "JANITORIAL SUPPLIES")</f>
        <v xml:space="preserve">          6237 - JANITORIAL SUPPLIES</v>
      </c>
      <c r="C82" s="11"/>
      <c r="D82" s="6">
        <v>1045.24</v>
      </c>
      <c r="E82" s="2"/>
      <c r="F82" s="7">
        <f t="shared" si="52"/>
        <v>1.999358439381799E-2</v>
      </c>
      <c r="G82" s="2"/>
      <c r="H82" s="6">
        <v>794</v>
      </c>
      <c r="I82" s="2"/>
      <c r="J82" s="7">
        <f t="shared" si="53"/>
        <v>1.7631123151396724E-2</v>
      </c>
      <c r="K82" s="2"/>
      <c r="L82" s="6">
        <f t="shared" si="54"/>
        <v>251.24</v>
      </c>
      <c r="M82" s="2"/>
      <c r="N82" s="7">
        <f t="shared" si="55"/>
        <v>0.31642317380352647</v>
      </c>
      <c r="O82" s="11"/>
      <c r="P82" s="6">
        <v>2047.41</v>
      </c>
      <c r="Q82" s="2"/>
      <c r="R82" s="7">
        <f t="shared" si="56"/>
        <v>2.8443724378683956E-2</v>
      </c>
      <c r="S82" s="2"/>
      <c r="T82" s="6">
        <v>1567</v>
      </c>
      <c r="U82" s="2"/>
      <c r="V82" s="7">
        <f t="shared" si="57"/>
        <v>2.9262918075034082E-2</v>
      </c>
      <c r="W82" s="2"/>
      <c r="X82" s="6">
        <f t="shared" si="58"/>
        <v>480.41000000000008</v>
      </c>
      <c r="Y82" s="2"/>
      <c r="Z82" s="7">
        <f t="shared" si="59"/>
        <v>0.30657945118059993</v>
      </c>
    </row>
    <row r="83" spans="1:26" s="24" customFormat="1" hidden="1" outlineLevel="2" x14ac:dyDescent="0.3">
      <c r="A83" s="27"/>
      <c r="B83" s="11" t="str">
        <f>CONCATENATE("          ", "6239", " - ", "KITCHEN SUPPLIES")</f>
        <v xml:space="preserve">          6239 - KITCHEN SUPPLIES</v>
      </c>
      <c r="C83" s="11"/>
      <c r="D83" s="6">
        <v>218.6</v>
      </c>
      <c r="E83" s="2"/>
      <c r="F83" s="7">
        <f t="shared" si="52"/>
        <v>4.1814296702083848E-3</v>
      </c>
      <c r="G83" s="2"/>
      <c r="H83" s="6">
        <v>73</v>
      </c>
      <c r="I83" s="2"/>
      <c r="J83" s="7">
        <f t="shared" si="53"/>
        <v>1.6209974685792957E-3</v>
      </c>
      <c r="K83" s="2"/>
      <c r="L83" s="6">
        <f t="shared" si="54"/>
        <v>145.6</v>
      </c>
      <c r="M83" s="2"/>
      <c r="N83" s="7">
        <f t="shared" si="55"/>
        <v>1.9945205479452055</v>
      </c>
      <c r="O83" s="11"/>
      <c r="P83" s="6">
        <v>250.63</v>
      </c>
      <c r="Q83" s="2"/>
      <c r="R83" s="7">
        <f t="shared" si="56"/>
        <v>3.4818871847991165E-3</v>
      </c>
      <c r="S83" s="2"/>
      <c r="T83" s="6">
        <v>5236</v>
      </c>
      <c r="U83" s="2"/>
      <c r="V83" s="7">
        <f t="shared" si="57"/>
        <v>9.7779603727427222E-2</v>
      </c>
      <c r="W83" s="2"/>
      <c r="X83" s="6">
        <f t="shared" si="58"/>
        <v>-4985.37</v>
      </c>
      <c r="Y83" s="2"/>
      <c r="Z83" s="7">
        <f t="shared" si="59"/>
        <v>-0.95213330786860195</v>
      </c>
    </row>
    <row r="84" spans="1:26" s="24" customFormat="1" hidden="1" outlineLevel="2" x14ac:dyDescent="0.3">
      <c r="A84" s="27"/>
      <c r="B84" s="11" t="str">
        <f>CONCATENATE("          ", "6241", " - ", "OFFICE EXPENSE")</f>
        <v xml:space="preserve">          6241 - OFFICE EXPENSE</v>
      </c>
      <c r="C84" s="11"/>
      <c r="D84" s="6">
        <v>1336.43</v>
      </c>
      <c r="E84" s="2"/>
      <c r="F84" s="7">
        <f t="shared" si="52"/>
        <v>2.5563531812244248E-2</v>
      </c>
      <c r="G84" s="2"/>
      <c r="H84" s="6">
        <v>2550</v>
      </c>
      <c r="I84" s="2"/>
      <c r="J84" s="7">
        <f t="shared" si="53"/>
        <v>5.6623884176400054E-2</v>
      </c>
      <c r="K84" s="2"/>
      <c r="L84" s="6">
        <f t="shared" si="54"/>
        <v>-1213.57</v>
      </c>
      <c r="M84" s="2"/>
      <c r="N84" s="7">
        <f t="shared" si="55"/>
        <v>-0.47590980392156862</v>
      </c>
      <c r="O84" s="11"/>
      <c r="P84" s="6">
        <v>1867.26</v>
      </c>
      <c r="Q84" s="2"/>
      <c r="R84" s="7">
        <f t="shared" si="56"/>
        <v>2.59409833806328E-2</v>
      </c>
      <c r="S84" s="2"/>
      <c r="T84" s="6">
        <v>2594</v>
      </c>
      <c r="U84" s="2"/>
      <c r="V84" s="7">
        <f t="shared" si="57"/>
        <v>4.8441614222487814E-2</v>
      </c>
      <c r="W84" s="2"/>
      <c r="X84" s="6">
        <f t="shared" si="58"/>
        <v>-726.74</v>
      </c>
      <c r="Y84" s="2"/>
      <c r="Z84" s="7">
        <f t="shared" si="59"/>
        <v>-0.28016191210485736</v>
      </c>
    </row>
    <row r="85" spans="1:26" s="24" customFormat="1" hidden="1" outlineLevel="2" x14ac:dyDescent="0.3">
      <c r="A85" s="27"/>
      <c r="B85" s="11" t="str">
        <f>CONCATENATE("          ", "6243", " - ", "PAPER SUPPLIES")</f>
        <v xml:space="preserve">          6243 - PAPER SUPPLIES</v>
      </c>
      <c r="C85" s="11"/>
      <c r="D85" s="6">
        <v>320.85000000000002</v>
      </c>
      <c r="E85" s="2"/>
      <c r="F85" s="7">
        <f t="shared" si="52"/>
        <v>6.137290529214824E-3</v>
      </c>
      <c r="G85" s="2"/>
      <c r="H85" s="6">
        <v>1301</v>
      </c>
      <c r="I85" s="2"/>
      <c r="J85" s="7">
        <f t="shared" si="53"/>
        <v>2.8889283652351556E-2</v>
      </c>
      <c r="K85" s="2"/>
      <c r="L85" s="6">
        <f t="shared" si="54"/>
        <v>-980.15</v>
      </c>
      <c r="M85" s="2"/>
      <c r="N85" s="7">
        <f t="shared" si="55"/>
        <v>-0.75338201383551118</v>
      </c>
      <c r="O85" s="11"/>
      <c r="P85" s="6">
        <v>486.23</v>
      </c>
      <c r="Q85" s="2"/>
      <c r="R85" s="7">
        <f t="shared" si="56"/>
        <v>6.7549695003186949E-3</v>
      </c>
      <c r="S85" s="2"/>
      <c r="T85" s="6">
        <v>1810</v>
      </c>
      <c r="U85" s="2"/>
      <c r="V85" s="7">
        <f t="shared" si="57"/>
        <v>3.3800817942445237E-2</v>
      </c>
      <c r="W85" s="2"/>
      <c r="X85" s="6">
        <f t="shared" si="58"/>
        <v>-1323.77</v>
      </c>
      <c r="Y85" s="2"/>
      <c r="Z85" s="7">
        <f t="shared" si="59"/>
        <v>-0.7313646408839779</v>
      </c>
    </row>
    <row r="86" spans="1:26" s="24" customFormat="1" hidden="1" outlineLevel="2" x14ac:dyDescent="0.3">
      <c r="A86" s="27"/>
      <c r="B86" s="11" t="str">
        <f>CONCATENATE("          ", "6244", " - ", "SAFETY SUPPLY EXPENSE")</f>
        <v xml:space="preserve">          6244 - SAFETY SUPPLY EXPENSE</v>
      </c>
      <c r="C86" s="11"/>
      <c r="D86" s="6"/>
      <c r="E86" s="2"/>
      <c r="F86" s="7">
        <f t="shared" si="52"/>
        <v>0</v>
      </c>
      <c r="G86" s="2"/>
      <c r="H86" s="6"/>
      <c r="I86" s="2"/>
      <c r="J86" s="7">
        <f t="shared" si="53"/>
        <v>0</v>
      </c>
      <c r="K86" s="2"/>
      <c r="L86" s="6">
        <f t="shared" si="54"/>
        <v>0</v>
      </c>
      <c r="M86" s="2"/>
      <c r="N86" s="7">
        <f t="shared" si="55"/>
        <v>0</v>
      </c>
      <c r="O86" s="11"/>
      <c r="P86" s="6"/>
      <c r="Q86" s="2"/>
      <c r="R86" s="7">
        <f t="shared" si="56"/>
        <v>0</v>
      </c>
      <c r="S86" s="2"/>
      <c r="T86" s="6">
        <v>50</v>
      </c>
      <c r="U86" s="2"/>
      <c r="V86" s="7">
        <f t="shared" si="57"/>
        <v>9.3372425255373588E-4</v>
      </c>
      <c r="W86" s="2"/>
      <c r="X86" s="6">
        <f t="shared" si="58"/>
        <v>-50</v>
      </c>
      <c r="Y86" s="2"/>
      <c r="Z86" s="7">
        <f t="shared" si="59"/>
        <v>-1</v>
      </c>
    </row>
    <row r="87" spans="1:26" s="24" customFormat="1" hidden="1" outlineLevel="2" x14ac:dyDescent="0.3">
      <c r="A87" s="27"/>
      <c r="B87" s="11" t="str">
        <f>CONCATENATE("          ", "6245", " - ", "PRINTING")</f>
        <v xml:space="preserve">          6245 - PRINTING</v>
      </c>
      <c r="C87" s="11"/>
      <c r="D87" s="6"/>
      <c r="E87" s="2"/>
      <c r="F87" s="7">
        <f t="shared" si="52"/>
        <v>0</v>
      </c>
      <c r="G87" s="2"/>
      <c r="H87" s="6">
        <v>300</v>
      </c>
      <c r="I87" s="2"/>
      <c r="J87" s="7">
        <f t="shared" si="53"/>
        <v>6.6616334325176529E-3</v>
      </c>
      <c r="K87" s="2"/>
      <c r="L87" s="6">
        <f t="shared" si="54"/>
        <v>-300</v>
      </c>
      <c r="M87" s="2"/>
      <c r="N87" s="7">
        <f t="shared" si="55"/>
        <v>-1</v>
      </c>
      <c r="O87" s="11"/>
      <c r="P87" s="6"/>
      <c r="Q87" s="2"/>
      <c r="R87" s="7">
        <f t="shared" si="56"/>
        <v>0</v>
      </c>
      <c r="S87" s="2"/>
      <c r="T87" s="6">
        <v>700</v>
      </c>
      <c r="U87" s="2"/>
      <c r="V87" s="7">
        <f t="shared" si="57"/>
        <v>1.3072139535752302E-2</v>
      </c>
      <c r="W87" s="2"/>
      <c r="X87" s="6">
        <f t="shared" si="58"/>
        <v>-700</v>
      </c>
      <c r="Y87" s="2"/>
      <c r="Z87" s="7">
        <f t="shared" si="59"/>
        <v>-1</v>
      </c>
    </row>
    <row r="88" spans="1:26" s="24" customFormat="1" hidden="1" outlineLevel="2" x14ac:dyDescent="0.3">
      <c r="A88" s="27"/>
      <c r="B88" s="11" t="str">
        <f>CONCATENATE("          ", "6247", " - ", "STORE SUPPLIES")</f>
        <v xml:space="preserve">          6247 - STORE SUPPLIES</v>
      </c>
      <c r="C88" s="11"/>
      <c r="D88" s="6">
        <v>200</v>
      </c>
      <c r="E88" s="2"/>
      <c r="F88" s="7">
        <f t="shared" si="52"/>
        <v>3.8256447119930331E-3</v>
      </c>
      <c r="G88" s="2"/>
      <c r="H88" s="6">
        <v>411</v>
      </c>
      <c r="I88" s="2"/>
      <c r="J88" s="7">
        <f t="shared" si="53"/>
        <v>9.1264378025491845E-3</v>
      </c>
      <c r="K88" s="2"/>
      <c r="L88" s="6">
        <f t="shared" si="54"/>
        <v>-211</v>
      </c>
      <c r="M88" s="2"/>
      <c r="N88" s="7">
        <f t="shared" si="55"/>
        <v>-0.51338199513381999</v>
      </c>
      <c r="O88" s="11"/>
      <c r="P88" s="6">
        <v>200</v>
      </c>
      <c r="Q88" s="2"/>
      <c r="R88" s="7">
        <f t="shared" si="56"/>
        <v>2.7785079079113567E-3</v>
      </c>
      <c r="S88" s="2"/>
      <c r="T88" s="6">
        <v>411</v>
      </c>
      <c r="U88" s="2"/>
      <c r="V88" s="7">
        <f t="shared" si="57"/>
        <v>7.6752133559917085E-3</v>
      </c>
      <c r="W88" s="2"/>
      <c r="X88" s="6">
        <f t="shared" si="58"/>
        <v>-211</v>
      </c>
      <c r="Y88" s="2"/>
      <c r="Z88" s="7">
        <f t="shared" si="59"/>
        <v>-0.51338199513381999</v>
      </c>
    </row>
    <row r="89" spans="1:26" s="24" customFormat="1" hidden="1" outlineLevel="2" x14ac:dyDescent="0.3">
      <c r="A89" s="27"/>
      <c r="B89" s="11" t="str">
        <f>CONCATENATE("          ", "6248", " - ", "UNIFORMS")</f>
        <v xml:space="preserve">          6248 - UNIFORMS</v>
      </c>
      <c r="C89" s="11"/>
      <c r="D89" s="6"/>
      <c r="E89" s="2"/>
      <c r="F89" s="7">
        <f t="shared" si="52"/>
        <v>0</v>
      </c>
      <c r="G89" s="2"/>
      <c r="H89" s="6">
        <v>1000</v>
      </c>
      <c r="I89" s="2"/>
      <c r="J89" s="7">
        <f t="shared" si="53"/>
        <v>2.2205444775058845E-2</v>
      </c>
      <c r="K89" s="2"/>
      <c r="L89" s="6">
        <f t="shared" si="54"/>
        <v>-1000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2600</v>
      </c>
      <c r="U89" s="2"/>
      <c r="V89" s="7">
        <f t="shared" si="57"/>
        <v>4.8553661132794267E-2</v>
      </c>
      <c r="W89" s="2"/>
      <c r="X89" s="6">
        <f t="shared" si="58"/>
        <v>-2600</v>
      </c>
      <c r="Y89" s="2"/>
      <c r="Z89" s="7">
        <f t="shared" si="59"/>
        <v>-1</v>
      </c>
    </row>
    <row r="90" spans="1:26" s="28" customFormat="1" outlineLevel="1" collapsed="1" x14ac:dyDescent="0.3">
      <c r="A90" s="29"/>
      <c r="B90" s="14" t="str">
        <f>CONCATENATE("     ","Telephone/Data Lines                              ")</f>
        <v xml:space="preserve">     Telephone/Data Lines                              </v>
      </c>
      <c r="C90" s="14"/>
      <c r="D90" s="1">
        <f>SUM(OSRRefD22_16x_0)</f>
        <v>721.95</v>
      </c>
      <c r="E90" s="1"/>
      <c r="F90" s="5">
        <f t="shared" ref="F90:F92" si="60">IF(D$12=0,0,D90/D$12)</f>
        <v>1.3809620999116852E-2</v>
      </c>
      <c r="G90" s="1"/>
      <c r="H90" s="1">
        <f>SUM(OSRRefH22_16x_0)</f>
        <v>360</v>
      </c>
      <c r="I90" s="1"/>
      <c r="J90" s="5">
        <f t="shared" ref="J90:J92" si="61">IF(H$12=0,0,H90/H$12)</f>
        <v>7.9939601190211831E-3</v>
      </c>
      <c r="K90" s="1"/>
      <c r="L90" s="1">
        <f t="shared" ref="L90:L92" si="62">+D90-H90</f>
        <v>361.95000000000005</v>
      </c>
      <c r="M90" s="1"/>
      <c r="N90" s="5">
        <f t="shared" ref="N90:N92" si="63">IF(H90=0,0,L90/H90)</f>
        <v>1.0054166666666668</v>
      </c>
      <c r="O90" s="14"/>
      <c r="P90" s="1">
        <f>SUM(OSRRefP22_16x_0)</f>
        <v>1245.5</v>
      </c>
      <c r="Q90" s="1"/>
      <c r="R90" s="5">
        <f t="shared" ref="R90:R92" si="64">IF(P$12=0,0,P90/P$12)</f>
        <v>1.7303157996517972E-2</v>
      </c>
      <c r="S90" s="1"/>
      <c r="T90" s="1">
        <f>SUM(OSRRefT22_16x_0)</f>
        <v>870</v>
      </c>
      <c r="U90" s="1"/>
      <c r="V90" s="5">
        <f t="shared" ref="V90:V92" si="65">IF(T$12=0,0,T90/T$12)</f>
        <v>1.6246801994435005E-2</v>
      </c>
      <c r="W90" s="1"/>
      <c r="X90" s="1">
        <f t="shared" ref="X90:X92" si="66">+P90-T90</f>
        <v>375.5</v>
      </c>
      <c r="Y90" s="1"/>
      <c r="Z90" s="5">
        <f t="shared" ref="Z90:Z92" si="67">IF(T90=0,0,X90/T90)</f>
        <v>0.43160919540229886</v>
      </c>
    </row>
    <row r="91" spans="1:26" s="24" customFormat="1" hidden="1" outlineLevel="2" x14ac:dyDescent="0.3">
      <c r="A91" s="27"/>
      <c r="B91" s="11" t="str">
        <f>CONCATENATE("          ", "6303", " - ", "DATA PHONE LINES")</f>
        <v xml:space="preserve">          6303 - DATA PHONE LINES</v>
      </c>
      <c r="C91" s="11"/>
      <c r="D91" s="6"/>
      <c r="E91" s="2"/>
      <c r="F91" s="7">
        <f t="shared" si="60"/>
        <v>0</v>
      </c>
      <c r="G91" s="2"/>
      <c r="H91" s="6">
        <v>135</v>
      </c>
      <c r="I91" s="2"/>
      <c r="J91" s="7">
        <f t="shared" si="61"/>
        <v>2.9977350446329441E-3</v>
      </c>
      <c r="K91" s="2"/>
      <c r="L91" s="6">
        <f t="shared" si="62"/>
        <v>-135</v>
      </c>
      <c r="M91" s="2"/>
      <c r="N91" s="7">
        <f t="shared" si="63"/>
        <v>-1</v>
      </c>
      <c r="O91" s="11"/>
      <c r="P91" s="6"/>
      <c r="Q91" s="2"/>
      <c r="R91" s="7">
        <f t="shared" si="64"/>
        <v>0</v>
      </c>
      <c r="S91" s="2"/>
      <c r="T91" s="6">
        <v>270</v>
      </c>
      <c r="U91" s="2"/>
      <c r="V91" s="7">
        <f t="shared" si="65"/>
        <v>5.0421109637901734E-3</v>
      </c>
      <c r="W91" s="2"/>
      <c r="X91" s="6">
        <f t="shared" si="66"/>
        <v>-270</v>
      </c>
      <c r="Y91" s="2"/>
      <c r="Z91" s="7">
        <f t="shared" si="67"/>
        <v>-1</v>
      </c>
    </row>
    <row r="92" spans="1:26" s="24" customFormat="1" hidden="1" outlineLevel="2" x14ac:dyDescent="0.3">
      <c r="A92" s="27"/>
      <c r="B92" s="11" t="str">
        <f>CONCATENATE("          ", "6309", " - ", "TELEPHONE")</f>
        <v xml:space="preserve">          6309 - TELEPHONE</v>
      </c>
      <c r="C92" s="11"/>
      <c r="D92" s="6">
        <v>721.95</v>
      </c>
      <c r="E92" s="2"/>
      <c r="F92" s="7">
        <f t="shared" si="60"/>
        <v>1.3809620999116852E-2</v>
      </c>
      <c r="G92" s="2"/>
      <c r="H92" s="6">
        <v>225</v>
      </c>
      <c r="I92" s="2"/>
      <c r="J92" s="7">
        <f t="shared" si="61"/>
        <v>4.9962250743882403E-3</v>
      </c>
      <c r="K92" s="2"/>
      <c r="L92" s="6">
        <f t="shared" si="62"/>
        <v>496.95000000000005</v>
      </c>
      <c r="M92" s="2"/>
      <c r="N92" s="7">
        <f t="shared" si="63"/>
        <v>2.2086666666666668</v>
      </c>
      <c r="O92" s="11"/>
      <c r="P92" s="6">
        <v>1245.5</v>
      </c>
      <c r="Q92" s="2"/>
      <c r="R92" s="7">
        <f t="shared" si="64"/>
        <v>1.7303157996517972E-2</v>
      </c>
      <c r="S92" s="2"/>
      <c r="T92" s="6">
        <v>600</v>
      </c>
      <c r="U92" s="2"/>
      <c r="V92" s="7">
        <f t="shared" si="65"/>
        <v>1.120469103064483E-2</v>
      </c>
      <c r="W92" s="2"/>
      <c r="X92" s="6">
        <f t="shared" si="66"/>
        <v>645.5</v>
      </c>
      <c r="Y92" s="2"/>
      <c r="Z92" s="7">
        <f t="shared" si="67"/>
        <v>1.0758333333333334</v>
      </c>
    </row>
    <row r="93" spans="1:26" s="28" customFormat="1" outlineLevel="1" collapsed="1" x14ac:dyDescent="0.3">
      <c r="A93" s="29"/>
      <c r="B93" s="14" t="str">
        <f>CONCATENATE("     ","Training                                          ")</f>
        <v xml:space="preserve">     Training                                          </v>
      </c>
      <c r="C93" s="14"/>
      <c r="D93" s="1">
        <f>SUM(OSRRefD22_17x_0)</f>
        <v>0</v>
      </c>
      <c r="E93" s="1"/>
      <c r="F93" s="5">
        <f t="shared" ref="F93:F96" si="68">IF(D$12=0,0,D93/D$12)</f>
        <v>0</v>
      </c>
      <c r="G93" s="1"/>
      <c r="H93" s="1">
        <f>SUM(OSRRefH22_17x_0)</f>
        <v>280</v>
      </c>
      <c r="I93" s="1"/>
      <c r="J93" s="5">
        <f t="shared" ref="J93:J96" si="69">IF(H$12=0,0,H93/H$12)</f>
        <v>6.2175245370164767E-3</v>
      </c>
      <c r="K93" s="1"/>
      <c r="L93" s="1">
        <f t="shared" ref="L93:L96" si="70">+D93-H93</f>
        <v>-280</v>
      </c>
      <c r="M93" s="1"/>
      <c r="N93" s="5">
        <f t="shared" ref="N93:N96" si="71">IF(H93=0,0,L93/H93)</f>
        <v>-1</v>
      </c>
      <c r="O93" s="14"/>
      <c r="P93" s="1">
        <f>SUM(OSRRefP22_17x_0)</f>
        <v>0</v>
      </c>
      <c r="Q93" s="1"/>
      <c r="R93" s="5">
        <f t="shared" ref="R93:R96" si="72">IF(P$12=0,0,P93/P$12)</f>
        <v>0</v>
      </c>
      <c r="S93" s="1"/>
      <c r="T93" s="1">
        <f>SUM(OSRRefT22_17x_0)</f>
        <v>600</v>
      </c>
      <c r="U93" s="1"/>
      <c r="V93" s="5">
        <f t="shared" ref="V93:V96" si="73">IF(T$12=0,0,T93/T$12)</f>
        <v>1.120469103064483E-2</v>
      </c>
      <c r="W93" s="1"/>
      <c r="X93" s="1">
        <f t="shared" ref="X93:X96" si="74">+P93-T93</f>
        <v>-600</v>
      </c>
      <c r="Y93" s="1"/>
      <c r="Z93" s="5">
        <f t="shared" ref="Z93:Z96" si="75">IF(T93=0,0,X93/T93)</f>
        <v>-1</v>
      </c>
    </row>
    <row r="94" spans="1:26" s="24" customFormat="1" hidden="1" outlineLevel="2" x14ac:dyDescent="0.3">
      <c r="A94" s="27"/>
      <c r="B94" s="11" t="str">
        <f>CONCATENATE("          ", "6376", " - ", "TRAINING")</f>
        <v xml:space="preserve">          6376 - TRAINING</v>
      </c>
      <c r="C94" s="11"/>
      <c r="D94" s="6"/>
      <c r="E94" s="2"/>
      <c r="F94" s="7">
        <f t="shared" si="68"/>
        <v>0</v>
      </c>
      <c r="G94" s="2"/>
      <c r="H94" s="6">
        <v>280</v>
      </c>
      <c r="I94" s="2"/>
      <c r="J94" s="7">
        <f t="shared" si="69"/>
        <v>6.2175245370164767E-3</v>
      </c>
      <c r="K94" s="2"/>
      <c r="L94" s="6">
        <f t="shared" si="70"/>
        <v>-280</v>
      </c>
      <c r="M94" s="2"/>
      <c r="N94" s="7">
        <f t="shared" si="71"/>
        <v>-1</v>
      </c>
      <c r="O94" s="11"/>
      <c r="P94" s="6"/>
      <c r="Q94" s="2"/>
      <c r="R94" s="7">
        <f t="shared" si="72"/>
        <v>0</v>
      </c>
      <c r="S94" s="2"/>
      <c r="T94" s="6">
        <v>600</v>
      </c>
      <c r="U94" s="2"/>
      <c r="V94" s="7">
        <f t="shared" si="73"/>
        <v>1.120469103064483E-2</v>
      </c>
      <c r="W94" s="2"/>
      <c r="X94" s="6">
        <f t="shared" si="74"/>
        <v>-600</v>
      </c>
      <c r="Y94" s="2"/>
      <c r="Z94" s="7">
        <f t="shared" si="75"/>
        <v>-1</v>
      </c>
    </row>
    <row r="95" spans="1:26" s="28" customFormat="1" outlineLevel="1" collapsed="1" x14ac:dyDescent="0.3">
      <c r="A95" s="29"/>
      <c r="B95" s="14" t="str">
        <f>CONCATENATE("     ","Utilities                                         ")</f>
        <v xml:space="preserve">     Utilities                                         </v>
      </c>
      <c r="C95" s="14"/>
      <c r="D95" s="1">
        <f>SUM(OSRRefD22_18x_0)</f>
        <v>8150</v>
      </c>
      <c r="E95" s="1"/>
      <c r="F95" s="5">
        <f t="shared" si="68"/>
        <v>0.15589502201371611</v>
      </c>
      <c r="G95" s="1"/>
      <c r="H95" s="1">
        <f>SUM(OSRRefH22_18x_0)</f>
        <v>8667</v>
      </c>
      <c r="I95" s="1"/>
      <c r="J95" s="5">
        <f t="shared" si="69"/>
        <v>0.19245458986543501</v>
      </c>
      <c r="K95" s="1"/>
      <c r="L95" s="1">
        <f t="shared" si="70"/>
        <v>-517</v>
      </c>
      <c r="M95" s="1"/>
      <c r="N95" s="5">
        <f t="shared" si="71"/>
        <v>-5.9651551863389871E-2</v>
      </c>
      <c r="O95" s="14"/>
      <c r="P95" s="1">
        <f>SUM(OSRRefP22_18x_0)</f>
        <v>16300</v>
      </c>
      <c r="Q95" s="1"/>
      <c r="R95" s="5">
        <f t="shared" si="72"/>
        <v>0.22644839449477558</v>
      </c>
      <c r="S95" s="1"/>
      <c r="T95" s="1">
        <f>SUM(OSRRefT22_18x_0)</f>
        <v>17334</v>
      </c>
      <c r="U95" s="1"/>
      <c r="V95" s="5">
        <f t="shared" si="73"/>
        <v>0.32370352387532914</v>
      </c>
      <c r="W95" s="1"/>
      <c r="X95" s="1">
        <f t="shared" si="74"/>
        <v>-1034</v>
      </c>
      <c r="Y95" s="1"/>
      <c r="Z95" s="5">
        <f t="shared" si="75"/>
        <v>-5.9651551863389871E-2</v>
      </c>
    </row>
    <row r="96" spans="1:26" s="24" customFormat="1" hidden="1" outlineLevel="2" x14ac:dyDescent="0.3">
      <c r="A96" s="27"/>
      <c r="B96" s="11" t="str">
        <f>CONCATENATE("          ", "6274", " - ", "UTILITIES")</f>
        <v xml:space="preserve">          6274 - UTILITIES</v>
      </c>
      <c r="C96" s="11"/>
      <c r="D96" s="6">
        <v>8150</v>
      </c>
      <c r="E96" s="2"/>
      <c r="F96" s="7">
        <f t="shared" si="68"/>
        <v>0.15589502201371611</v>
      </c>
      <c r="G96" s="2"/>
      <c r="H96" s="6">
        <v>8667</v>
      </c>
      <c r="I96" s="2"/>
      <c r="J96" s="7">
        <f t="shared" si="69"/>
        <v>0.19245458986543501</v>
      </c>
      <c r="K96" s="2"/>
      <c r="L96" s="6">
        <f t="shared" si="70"/>
        <v>-517</v>
      </c>
      <c r="M96" s="2"/>
      <c r="N96" s="7">
        <f t="shared" si="71"/>
        <v>-5.9651551863389871E-2</v>
      </c>
      <c r="O96" s="11"/>
      <c r="P96" s="6">
        <v>16300</v>
      </c>
      <c r="Q96" s="2"/>
      <c r="R96" s="7">
        <f t="shared" si="72"/>
        <v>0.22644839449477558</v>
      </c>
      <c r="S96" s="2"/>
      <c r="T96" s="6">
        <v>17334</v>
      </c>
      <c r="U96" s="2"/>
      <c r="V96" s="7">
        <f t="shared" si="73"/>
        <v>0.32370352387532914</v>
      </c>
      <c r="W96" s="2"/>
      <c r="X96" s="6">
        <f t="shared" si="74"/>
        <v>-1034</v>
      </c>
      <c r="Y96" s="2"/>
      <c r="Z96" s="7">
        <f t="shared" si="75"/>
        <v>-5.9651551863389871E-2</v>
      </c>
    </row>
    <row r="97" spans="1:26" s="53" customFormat="1" x14ac:dyDescent="0.3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3">
      <c r="A98" s="10"/>
      <c r="B98" s="25" t="s">
        <v>293</v>
      </c>
      <c r="C98" s="10"/>
      <c r="D98" s="4">
        <f>SUM(OSRRefD25x_0)</f>
        <v>11546.83</v>
      </c>
      <c r="E98" s="4"/>
      <c r="F98" s="12">
        <f t="shared" ref="F98:F101" si="76">IF(D$12=0,0,D98/D$12)</f>
        <v>0.22087034564891256</v>
      </c>
      <c r="G98" s="4"/>
      <c r="H98" s="4">
        <f>SUM(OSRRefH25x_0)</f>
        <v>0</v>
      </c>
      <c r="I98" s="4"/>
      <c r="J98" s="12">
        <f t="shared" ref="J98:J101" si="77">IF(H$12=0,0,H98/H$12)</f>
        <v>0</v>
      </c>
      <c r="K98" s="4"/>
      <c r="L98" s="4">
        <f t="shared" ref="L98:L101" si="78">+D98-H98</f>
        <v>11546.83</v>
      </c>
      <c r="M98" s="4"/>
      <c r="N98" s="12">
        <f t="shared" ref="N98:N101" si="79">IF(H98=0,0,L98/H98)</f>
        <v>0</v>
      </c>
      <c r="O98" s="10"/>
      <c r="P98" s="4">
        <f>SUM(OSRRefP25x_0)</f>
        <v>14202.250000000002</v>
      </c>
      <c r="Q98" s="4"/>
      <c r="R98" s="12">
        <f t="shared" ref="R98:R101" si="80">IF(P$12=0,0,P98/P$12)</f>
        <v>0.19730531967567036</v>
      </c>
      <c r="S98" s="4"/>
      <c r="T98" s="4">
        <f>SUM(OSRRefT25x_0)</f>
        <v>0</v>
      </c>
      <c r="U98" s="4"/>
      <c r="V98" s="12">
        <f t="shared" ref="V98:V101" si="81">IF(T$12=0,0,T98/T$12)</f>
        <v>0</v>
      </c>
      <c r="W98" s="4"/>
      <c r="X98" s="4">
        <f t="shared" ref="X98:X101" si="82">+P98-T98</f>
        <v>14202.250000000002</v>
      </c>
      <c r="Y98" s="4"/>
      <c r="Z98" s="12">
        <f t="shared" ref="Z98:Z101" si="83">IF(T98=0,0,X98/T98)</f>
        <v>0</v>
      </c>
    </row>
    <row r="99" spans="1:26" s="24" customFormat="1" hidden="1" outlineLevel="1" x14ac:dyDescent="0.3">
      <c r="A99" s="44"/>
      <c r="B99" s="11" t="str">
        <f>CONCATENATE("          ", "9150", " - ", "MISC. INCOME")</f>
        <v xml:space="preserve">          9150 - MISC. INCOME</v>
      </c>
      <c r="C99" s="11"/>
      <c r="D99" s="2">
        <f>--1041.32</f>
        <v>1041.32</v>
      </c>
      <c r="E99" s="2"/>
      <c r="F99" s="19">
        <f t="shared" si="76"/>
        <v>1.9918601757462923E-2</v>
      </c>
      <c r="G99" s="2"/>
      <c r="H99" s="2"/>
      <c r="I99" s="2"/>
      <c r="J99" s="19">
        <f t="shared" si="77"/>
        <v>0</v>
      </c>
      <c r="K99" s="2"/>
      <c r="L99" s="2">
        <f t="shared" si="78"/>
        <v>1041.32</v>
      </c>
      <c r="M99" s="2"/>
      <c r="N99" s="19">
        <f t="shared" si="79"/>
        <v>0</v>
      </c>
      <c r="O99" s="11"/>
      <c r="P99" s="2">
        <f>--2458.62</f>
        <v>2458.62</v>
      </c>
      <c r="Q99" s="2"/>
      <c r="R99" s="19">
        <f t="shared" si="80"/>
        <v>3.4156475562745099E-2</v>
      </c>
      <c r="S99" s="2"/>
      <c r="T99" s="2"/>
      <c r="U99" s="2"/>
      <c r="V99" s="19">
        <f t="shared" si="81"/>
        <v>0</v>
      </c>
      <c r="W99" s="2"/>
      <c r="X99" s="2">
        <f t="shared" si="82"/>
        <v>2458.62</v>
      </c>
      <c r="Y99" s="2"/>
      <c r="Z99" s="19">
        <f t="shared" si="83"/>
        <v>0</v>
      </c>
    </row>
    <row r="100" spans="1:26" s="24" customFormat="1" hidden="1" outlineLevel="1" x14ac:dyDescent="0.3">
      <c r="A100" s="44"/>
      <c r="B100" s="11" t="str">
        <f>CONCATENATE("          ", "9160", " - ", "MISC. INCOME")</f>
        <v xml:space="preserve">          9160 - MISC. INCOME</v>
      </c>
      <c r="C100" s="11"/>
      <c r="D100" s="2">
        <f>--10000</f>
        <v>10000</v>
      </c>
      <c r="E100" s="2"/>
      <c r="F100" s="19">
        <f t="shared" si="76"/>
        <v>0.19128223559965166</v>
      </c>
      <c r="G100" s="2"/>
      <c r="H100" s="2"/>
      <c r="I100" s="2"/>
      <c r="J100" s="19">
        <f t="shared" si="77"/>
        <v>0</v>
      </c>
      <c r="K100" s="2"/>
      <c r="L100" s="2">
        <f t="shared" si="78"/>
        <v>10000</v>
      </c>
      <c r="M100" s="2"/>
      <c r="N100" s="19">
        <f t="shared" si="79"/>
        <v>0</v>
      </c>
      <c r="O100" s="11"/>
      <c r="P100" s="2">
        <f>--11238.12</f>
        <v>11238.12</v>
      </c>
      <c r="Q100" s="2"/>
      <c r="R100" s="19">
        <f t="shared" si="80"/>
        <v>0.15612602645028389</v>
      </c>
      <c r="S100" s="2"/>
      <c r="T100" s="2"/>
      <c r="U100" s="2"/>
      <c r="V100" s="19">
        <f t="shared" si="81"/>
        <v>0</v>
      </c>
      <c r="W100" s="2"/>
      <c r="X100" s="2">
        <f t="shared" si="82"/>
        <v>11238.12</v>
      </c>
      <c r="Y100" s="2"/>
      <c r="Z100" s="19">
        <f t="shared" si="83"/>
        <v>0</v>
      </c>
    </row>
    <row r="101" spans="1:26" s="24" customFormat="1" hidden="1" outlineLevel="1" x14ac:dyDescent="0.3">
      <c r="A101" s="44"/>
      <c r="B101" s="11" t="str">
        <f>CONCATENATE("          ", "9165", " - ", "OTHER INCOME")</f>
        <v xml:space="preserve">          9165 - OTHER INCOME</v>
      </c>
      <c r="C101" s="11"/>
      <c r="D101" s="2">
        <f>--505.51</f>
        <v>505.51</v>
      </c>
      <c r="E101" s="2"/>
      <c r="F101" s="19">
        <f t="shared" si="76"/>
        <v>9.6695082917979906E-3</v>
      </c>
      <c r="G101" s="2"/>
      <c r="H101" s="2"/>
      <c r="I101" s="2"/>
      <c r="J101" s="19">
        <f t="shared" si="77"/>
        <v>0</v>
      </c>
      <c r="K101" s="2"/>
      <c r="L101" s="2">
        <f t="shared" si="78"/>
        <v>505.51</v>
      </c>
      <c r="M101" s="2"/>
      <c r="N101" s="19">
        <f t="shared" si="79"/>
        <v>0</v>
      </c>
      <c r="O101" s="11"/>
      <c r="P101" s="2">
        <f>--505.51</f>
        <v>505.51</v>
      </c>
      <c r="Q101" s="2"/>
      <c r="R101" s="19">
        <f t="shared" si="80"/>
        <v>7.0228176626413496E-3</v>
      </c>
      <c r="S101" s="2"/>
      <c r="T101" s="2"/>
      <c r="U101" s="2"/>
      <c r="V101" s="19">
        <f t="shared" si="81"/>
        <v>0</v>
      </c>
      <c r="W101" s="2"/>
      <c r="X101" s="2">
        <f t="shared" si="82"/>
        <v>505.51</v>
      </c>
      <c r="Y101" s="2"/>
      <c r="Z101" s="19">
        <f t="shared" si="83"/>
        <v>0</v>
      </c>
    </row>
    <row r="102" spans="1:26" x14ac:dyDescent="0.3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3">
      <c r="A103" s="10"/>
      <c r="B103" s="26" t="s">
        <v>277</v>
      </c>
      <c r="C103" s="26"/>
      <c r="D103" s="21">
        <f>+D23-D25+D98</f>
        <v>-151630.51</v>
      </c>
      <c r="E103" s="13"/>
      <c r="F103" s="20">
        <f>IF(D$12=0,0,D103/D$12)</f>
        <v>-2.9004222937915336</v>
      </c>
      <c r="G103" s="13"/>
      <c r="H103" s="21">
        <f>+H23-H25+H98</f>
        <v>-141004.66949620302</v>
      </c>
      <c r="I103" s="13"/>
      <c r="J103" s="20">
        <f>IF(H$12=0,0,H103/H$12)</f>
        <v>-3.1310714015233603</v>
      </c>
      <c r="K103" s="16"/>
      <c r="L103" s="21">
        <f>+D103-H103</f>
        <v>-10625.840503796993</v>
      </c>
      <c r="M103" s="16"/>
      <c r="N103" s="20">
        <f>IF(H103=0,0,L103/H103)</f>
        <v>7.535807531596056E-2</v>
      </c>
      <c r="O103" s="25"/>
      <c r="P103" s="21">
        <f>+P23-P25+P98</f>
        <v>-280183.28999999992</v>
      </c>
      <c r="Q103" s="13"/>
      <c r="R103" s="20">
        <f>IF(P$12=0,0,P103/P$12)</f>
        <v>-3.8924574346481036</v>
      </c>
      <c r="S103" s="13"/>
      <c r="T103" s="21">
        <f>+T23-T25+T98</f>
        <v>-300138.89116227429</v>
      </c>
      <c r="U103" s="13"/>
      <c r="V103" s="20">
        <f>IF(T$12=0,0,T103/T$12)</f>
        <v>-5.6049392362560324</v>
      </c>
      <c r="W103" s="16"/>
      <c r="X103" s="21">
        <f>+P103-T103</f>
        <v>19955.601162274368</v>
      </c>
      <c r="Y103" s="16"/>
      <c r="Z103" s="20">
        <f>IF(T103=0,0,X103/T103)</f>
        <v>-6.6487888607161857E-2</v>
      </c>
    </row>
    <row r="104" spans="1:26" x14ac:dyDescent="0.3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3">
      <c r="A105" s="52"/>
      <c r="B105" s="10" t="s">
        <v>128</v>
      </c>
      <c r="C105" s="10"/>
      <c r="D105" s="4">
        <v>1653.96</v>
      </c>
      <c r="E105" s="4"/>
      <c r="F105" s="12">
        <f>IF(D$12=0,0,D105/D$12)</f>
        <v>3.1637316639239986E-2</v>
      </c>
      <c r="G105" s="4"/>
      <c r="H105" s="4">
        <v>2914</v>
      </c>
      <c r="I105" s="4"/>
      <c r="J105" s="12">
        <f>IF(H$12=0,0,H105/H$12)</f>
        <v>6.4706666074521468E-2</v>
      </c>
      <c r="K105" s="4"/>
      <c r="L105" s="4">
        <f>+D105-H105</f>
        <v>-1260.04</v>
      </c>
      <c r="M105" s="4"/>
      <c r="N105" s="12">
        <f>IF(H105=0,0,L105/H105)</f>
        <v>-0.43240905971173643</v>
      </c>
      <c r="O105" s="10"/>
      <c r="P105" s="4">
        <v>10756.35</v>
      </c>
      <c r="Q105" s="4"/>
      <c r="R105" s="12">
        <f>IF(P$12=0,0,P105/P$12)</f>
        <v>0.14943301767631162</v>
      </c>
      <c r="S105" s="4"/>
      <c r="T105" s="4">
        <v>5997</v>
      </c>
      <c r="U105" s="4"/>
      <c r="V105" s="12">
        <f>IF(T$12=0,0,T105/T$12)</f>
        <v>0.11199088685129507</v>
      </c>
      <c r="W105" s="4"/>
      <c r="X105" s="4">
        <f>+P105-T105</f>
        <v>4759.3500000000004</v>
      </c>
      <c r="Y105" s="4"/>
      <c r="Z105" s="12">
        <f>IF(T105=0,0,X105/T105)</f>
        <v>0.79362181090545281</v>
      </c>
    </row>
    <row r="106" spans="1:26" x14ac:dyDescent="0.3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" thickBot="1" x14ac:dyDescent="0.35">
      <c r="A107" s="10"/>
      <c r="B107" s="26" t="s">
        <v>126</v>
      </c>
      <c r="C107" s="26"/>
      <c r="D107" s="30">
        <f>+D103-D105</f>
        <v>-153284.47</v>
      </c>
      <c r="E107" s="13"/>
      <c r="F107" s="35">
        <f>IF(D$12=0,0,D107/D$12)</f>
        <v>-2.9320596104307737</v>
      </c>
      <c r="G107" s="13"/>
      <c r="H107" s="30">
        <f>+H103-H105</f>
        <v>-143918.66949620302</v>
      </c>
      <c r="I107" s="13"/>
      <c r="J107" s="35">
        <f>IF(H$12=0,0,H107/H$12)</f>
        <v>-3.1957780675978817</v>
      </c>
      <c r="K107" s="16"/>
      <c r="L107" s="30">
        <f>D107-H107</f>
        <v>-9365.8005037969851</v>
      </c>
      <c r="M107" s="16"/>
      <c r="N107" s="35">
        <f>IF(H107=0,0,L107/H107)</f>
        <v>6.507703647193655E-2</v>
      </c>
      <c r="O107" s="25"/>
      <c r="P107" s="30">
        <f>+P103-P105</f>
        <v>-290939.6399999999</v>
      </c>
      <c r="Q107" s="13"/>
      <c r="R107" s="35">
        <f>IF(P$12=0,0,P107/P$12)</f>
        <v>-4.0418904523244148</v>
      </c>
      <c r="S107" s="13"/>
      <c r="T107" s="30">
        <f>+T103-T105</f>
        <v>-306135.89116227429</v>
      </c>
      <c r="U107" s="13"/>
      <c r="V107" s="35">
        <f>IF(T$12=0,0,T107/T$12)</f>
        <v>-5.7169301231073275</v>
      </c>
      <c r="W107" s="16"/>
      <c r="X107" s="30">
        <f>P107-T107</f>
        <v>15196.251162274391</v>
      </c>
      <c r="Y107" s="16"/>
      <c r="Z107" s="35">
        <f>IF(T107=0,0,X107/T107)</f>
        <v>-4.9638907429574379E-2</v>
      </c>
    </row>
    <row r="108" spans="1:26" ht="15" thickTop="1" x14ac:dyDescent="0.3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3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" thickBot="1" x14ac:dyDescent="0.35">
      <c r="A110" s="10"/>
      <c r="B110" s="26" t="s">
        <v>294</v>
      </c>
      <c r="C110" s="26"/>
      <c r="D110" s="32">
        <f>SUM(D107:D109)</f>
        <v>-153284.47</v>
      </c>
      <c r="E110" s="13"/>
      <c r="F110" s="34">
        <f>IF(D$12=0,0,D110/D$12)</f>
        <v>-2.9320596104307737</v>
      </c>
      <c r="G110" s="13"/>
      <c r="H110" s="32">
        <f>SUM(H107:H109)</f>
        <v>-143918.66949620302</v>
      </c>
      <c r="I110" s="13"/>
      <c r="J110" s="34">
        <f>IF(H$12=0,0,H110/H$12)</f>
        <v>-3.1957780675978817</v>
      </c>
      <c r="K110" s="16"/>
      <c r="L110" s="32">
        <f>+D110-H110</f>
        <v>-9365.8005037969851</v>
      </c>
      <c r="M110" s="16"/>
      <c r="N110" s="34">
        <f>IF(H110=0,0,L110/H110)</f>
        <v>6.507703647193655E-2</v>
      </c>
      <c r="O110" s="25"/>
      <c r="P110" s="32">
        <f>SUM(P107:P109)</f>
        <v>-290939.6399999999</v>
      </c>
      <c r="Q110" s="13"/>
      <c r="R110" s="34">
        <f>IF(P$12=0,0,P110/P$12)</f>
        <v>-4.0418904523244148</v>
      </c>
      <c r="S110" s="13"/>
      <c r="T110" s="32">
        <f>SUM(T107:T109)</f>
        <v>-306135.89116227429</v>
      </c>
      <c r="U110" s="13"/>
      <c r="V110" s="34">
        <f>IF(T$12=0,0,T110/T$12)</f>
        <v>-5.7169301231073275</v>
      </c>
      <c r="W110" s="16"/>
      <c r="X110" s="32">
        <f>+P110-T110</f>
        <v>15196.251162274391</v>
      </c>
      <c r="Y110" s="16"/>
      <c r="Z110" s="34">
        <f>IF(T110=0,0,X110/T110)</f>
        <v>-4.9638907429574379E-2</v>
      </c>
    </row>
    <row r="111" spans="1:26" ht="15" thickTop="1" x14ac:dyDescent="0.3">
      <c r="A111" s="9"/>
      <c r="C111" s="9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3">
      <c r="A112" s="9"/>
      <c r="B112" s="61">
        <v>44470.835498414352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3">
      <c r="A113" s="9"/>
      <c r="B113" s="58" t="s">
        <v>56</v>
      </c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3">
      <c r="A114" s="9"/>
      <c r="B114" s="55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3"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","405", " - ", "Caffeine Lab")</f>
        <v>Department 405 - Caffeine Lab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15362.75</v>
      </c>
      <c r="E12" s="4"/>
      <c r="F12" s="12"/>
      <c r="G12" s="4"/>
      <c r="H12" s="4">
        <f>SUM(OSRRefH13x_0)</f>
        <v>8038</v>
      </c>
      <c r="I12" s="4"/>
      <c r="J12" s="12"/>
      <c r="K12" s="4"/>
      <c r="L12" s="4">
        <f t="shared" ref="L12:L16" si="0">+D12-H12</f>
        <v>7324.75</v>
      </c>
      <c r="M12" s="4"/>
      <c r="N12" s="12">
        <f t="shared" ref="N12:N16" si="1">IF(H12=0,0,L12/H12)</f>
        <v>0.91126524010947996</v>
      </c>
      <c r="O12" s="10"/>
      <c r="P12" s="4">
        <f>SUM(OSRRefP13x_0)</f>
        <v>15362.75</v>
      </c>
      <c r="Q12" s="4"/>
      <c r="R12" s="12"/>
      <c r="S12" s="4"/>
      <c r="T12" s="4">
        <f>SUM(OSRRefT13x_0)</f>
        <v>8038</v>
      </c>
      <c r="U12" s="4"/>
      <c r="V12" s="12"/>
      <c r="W12" s="4"/>
      <c r="X12" s="4">
        <f t="shared" ref="X12:X16" si="2">+P12-T12</f>
        <v>7324.75</v>
      </c>
      <c r="Y12" s="4"/>
      <c r="Z12" s="12">
        <f t="shared" ref="Z12:Z16" si="3">IF(T12=0,0,X12/T12)</f>
        <v>0.91126524010947996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1683</v>
      </c>
      <c r="I13" s="2"/>
      <c r="J13" s="19"/>
      <c r="K13" s="2"/>
      <c r="L13" s="2">
        <f t="shared" si="0"/>
        <v>-1683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1683</v>
      </c>
      <c r="U13" s="2"/>
      <c r="V13" s="19"/>
      <c r="W13" s="2"/>
      <c r="X13" s="2">
        <f t="shared" si="2"/>
        <v>-1683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--2269.66</f>
        <v>2269.66</v>
      </c>
      <c r="E14" s="2"/>
      <c r="F14" s="19"/>
      <c r="G14" s="2"/>
      <c r="H14" s="2"/>
      <c r="I14" s="2"/>
      <c r="J14" s="19"/>
      <c r="K14" s="2"/>
      <c r="L14" s="2">
        <f t="shared" si="0"/>
        <v>2269.66</v>
      </c>
      <c r="M14" s="2"/>
      <c r="N14" s="19">
        <f t="shared" si="1"/>
        <v>0</v>
      </c>
      <c r="O14" s="11"/>
      <c r="P14" s="2">
        <f>--2269.66</f>
        <v>2269.66</v>
      </c>
      <c r="Q14" s="2"/>
      <c r="R14" s="19"/>
      <c r="S14" s="2"/>
      <c r="T14" s="2"/>
      <c r="U14" s="2"/>
      <c r="V14" s="19"/>
      <c r="W14" s="2"/>
      <c r="X14" s="2">
        <f t="shared" si="2"/>
        <v>2269.66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6355</v>
      </c>
      <c r="I15" s="2"/>
      <c r="J15" s="19"/>
      <c r="K15" s="2"/>
      <c r="L15" s="2">
        <f t="shared" si="0"/>
        <v>-6355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6355</v>
      </c>
      <c r="U15" s="2"/>
      <c r="V15" s="19"/>
      <c r="W15" s="2"/>
      <c r="X15" s="2">
        <f t="shared" si="2"/>
        <v>-6355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--13093.09</f>
        <v>13093.09</v>
      </c>
      <c r="E16" s="2"/>
      <c r="F16" s="19"/>
      <c r="G16" s="2"/>
      <c r="H16" s="2"/>
      <c r="I16" s="2"/>
      <c r="J16" s="19"/>
      <c r="K16" s="2"/>
      <c r="L16" s="2">
        <f t="shared" si="0"/>
        <v>13093.09</v>
      </c>
      <c r="M16" s="2"/>
      <c r="N16" s="19">
        <f t="shared" si="1"/>
        <v>0</v>
      </c>
      <c r="O16" s="11"/>
      <c r="P16" s="2">
        <f>--13093.09</f>
        <v>13093.09</v>
      </c>
      <c r="Q16" s="2"/>
      <c r="R16" s="19"/>
      <c r="S16" s="2"/>
      <c r="T16" s="2"/>
      <c r="U16" s="2"/>
      <c r="V16" s="19"/>
      <c r="W16" s="2"/>
      <c r="X16" s="2">
        <f t="shared" si="2"/>
        <v>13093.09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5838.27</v>
      </c>
      <c r="E18" s="4"/>
      <c r="F18" s="12">
        <f t="shared" ref="F18:F21" si="4">IF(D$12=0,0,D18/D$12)</f>
        <v>0.38002766431791185</v>
      </c>
      <c r="G18" s="4"/>
      <c r="H18" s="4">
        <f>SUM(OSRRefH16x_0)</f>
        <v>3054</v>
      </c>
      <c r="I18" s="4"/>
      <c r="J18" s="12">
        <f t="shared" ref="J18:J21" si="5">IF(H$12=0,0,H18/H$12)</f>
        <v>0.37994526001492906</v>
      </c>
      <c r="K18" s="4"/>
      <c r="L18" s="4">
        <f t="shared" ref="L18:L21" si="6">+D18-H18</f>
        <v>2784.2700000000004</v>
      </c>
      <c r="M18" s="4"/>
      <c r="N18" s="12">
        <f t="shared" ref="N18:N21" si="7">IF(H18=0,0,L18/H18)</f>
        <v>0.91167976424361508</v>
      </c>
      <c r="O18" s="10"/>
      <c r="P18" s="4">
        <f>SUM(OSRRefP16x_0)</f>
        <v>5838.27</v>
      </c>
      <c r="Q18" s="4"/>
      <c r="R18" s="12">
        <f t="shared" ref="R18:R21" si="8">IF(P$12=0,0,P18/P$12)</f>
        <v>0.38002766431791185</v>
      </c>
      <c r="S18" s="4"/>
      <c r="T18" s="4">
        <f>SUM(OSRRefT16x_0)</f>
        <v>3054</v>
      </c>
      <c r="U18" s="4"/>
      <c r="V18" s="12">
        <f t="shared" ref="V18:V21" si="9">IF(T$12=0,0,T18/T$12)</f>
        <v>0.37994526001492906</v>
      </c>
      <c r="W18" s="4"/>
      <c r="X18" s="4">
        <f t="shared" ref="X18:X21" si="10">+P18-T18</f>
        <v>2784.2700000000004</v>
      </c>
      <c r="Y18" s="4"/>
      <c r="Z18" s="12">
        <f t="shared" ref="Z18:Z21" si="11">IF(T18=0,0,X18/T18)</f>
        <v>0.91167976424361508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3054</v>
      </c>
      <c r="I19" s="2"/>
      <c r="J19" s="19">
        <f t="shared" si="5"/>
        <v>0.37994526001492906</v>
      </c>
      <c r="K19" s="2"/>
      <c r="L19" s="2">
        <f t="shared" si="6"/>
        <v>-3054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3054</v>
      </c>
      <c r="U19" s="2"/>
      <c r="V19" s="19">
        <f t="shared" si="9"/>
        <v>0.37994526001492906</v>
      </c>
      <c r="W19" s="2"/>
      <c r="X19" s="2">
        <f t="shared" si="10"/>
        <v>-3054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19561.27</v>
      </c>
      <c r="E20" s="2"/>
      <c r="F20" s="19">
        <f t="shared" si="4"/>
        <v>1.2732922165627898</v>
      </c>
      <c r="G20" s="2"/>
      <c r="H20" s="2"/>
      <c r="I20" s="2"/>
      <c r="J20" s="19">
        <f t="shared" si="5"/>
        <v>0</v>
      </c>
      <c r="K20" s="2"/>
      <c r="L20" s="2">
        <f t="shared" si="6"/>
        <v>19561.27</v>
      </c>
      <c r="M20" s="2"/>
      <c r="N20" s="19">
        <f t="shared" si="7"/>
        <v>0</v>
      </c>
      <c r="O20" s="11"/>
      <c r="P20" s="2">
        <v>19561.27</v>
      </c>
      <c r="Q20" s="2"/>
      <c r="R20" s="19">
        <f t="shared" si="8"/>
        <v>1.2732922165627898</v>
      </c>
      <c r="S20" s="2"/>
      <c r="T20" s="2"/>
      <c r="U20" s="2"/>
      <c r="V20" s="19">
        <f t="shared" si="9"/>
        <v>0</v>
      </c>
      <c r="W20" s="2"/>
      <c r="X20" s="2">
        <f t="shared" si="10"/>
        <v>19561.27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-13723</v>
      </c>
      <c r="E21" s="2"/>
      <c r="F21" s="19">
        <f t="shared" si="4"/>
        <v>-0.893264552244878</v>
      </c>
      <c r="G21" s="2"/>
      <c r="H21" s="2"/>
      <c r="I21" s="2"/>
      <c r="J21" s="19">
        <f t="shared" si="5"/>
        <v>0</v>
      </c>
      <c r="K21" s="2"/>
      <c r="L21" s="2">
        <f t="shared" si="6"/>
        <v>-13723</v>
      </c>
      <c r="M21" s="2"/>
      <c r="N21" s="19">
        <f t="shared" si="7"/>
        <v>0</v>
      </c>
      <c r="O21" s="11"/>
      <c r="P21" s="2">
        <v>-13723</v>
      </c>
      <c r="Q21" s="2"/>
      <c r="R21" s="19">
        <f t="shared" si="8"/>
        <v>-0.893264552244878</v>
      </c>
      <c r="S21" s="2"/>
      <c r="T21" s="2"/>
      <c r="U21" s="2"/>
      <c r="V21" s="19">
        <f t="shared" si="9"/>
        <v>0</v>
      </c>
      <c r="W21" s="2"/>
      <c r="X21" s="2">
        <f t="shared" si="10"/>
        <v>-13723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9524.48</v>
      </c>
      <c r="E23" s="13"/>
      <c r="F23" s="20">
        <f>IF(D$12=0,0,D23/D$12)</f>
        <v>0.61997233568208809</v>
      </c>
      <c r="G23" s="13"/>
      <c r="H23" s="21">
        <f>H12-H18</f>
        <v>4984</v>
      </c>
      <c r="I23" s="13"/>
      <c r="J23" s="20">
        <f>IF(H$12=0,0,H23/H$12)</f>
        <v>0.62005473998507088</v>
      </c>
      <c r="K23" s="16"/>
      <c r="L23" s="21">
        <f>+D23-H23</f>
        <v>4540.4799999999996</v>
      </c>
      <c r="M23" s="16"/>
      <c r="N23" s="20">
        <f>IF(H23=0,0,L23/H23)</f>
        <v>0.91101123595505606</v>
      </c>
      <c r="O23" s="25"/>
      <c r="P23" s="21">
        <f>P12-P18</f>
        <v>9524.48</v>
      </c>
      <c r="Q23" s="13"/>
      <c r="R23" s="20">
        <f>IF(P$12=0,0,P23/P$12)</f>
        <v>0.61997233568208809</v>
      </c>
      <c r="S23" s="13"/>
      <c r="T23" s="21">
        <f>T12-T18</f>
        <v>4984</v>
      </c>
      <c r="U23" s="13"/>
      <c r="V23" s="20">
        <f>IF(T$12=0,0,T23/T$12)</f>
        <v>0.62005473998507088</v>
      </c>
      <c r="W23" s="16"/>
      <c r="X23" s="21">
        <f>+P23-T23</f>
        <v>4540.4799999999996</v>
      </c>
      <c r="Y23" s="16"/>
      <c r="Z23" s="20">
        <f>IF(T23=0,0,X23/T23)</f>
        <v>0.91101123595505606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2">
        <f>SUM(OSRRefD22x_0)</f>
        <v>29201.399999999998</v>
      </c>
      <c r="E25" s="22"/>
      <c r="F25" s="31">
        <f t="shared" ref="F25:F35" si="12">IF(D$12=0,0,D25/D$12)</f>
        <v>1.9007925013425329</v>
      </c>
      <c r="G25" s="22"/>
      <c r="H25" s="22">
        <f>SUM(OSRRefH22x_0)</f>
        <v>30219.919177692307</v>
      </c>
      <c r="I25" s="22"/>
      <c r="J25" s="31">
        <f t="shared" ref="J25:J35" si="13">IF(H$12=0,0,H25/H$12)</f>
        <v>3.7596316468888165</v>
      </c>
      <c r="K25" s="4"/>
      <c r="L25" s="22">
        <f t="shared" ref="L25:L35" si="14">+D25-H25</f>
        <v>-1018.5191776923093</v>
      </c>
      <c r="M25" s="4"/>
      <c r="N25" s="31">
        <f t="shared" ref="N25:N35" si="15">IF(H25=0,0,L25/H25)</f>
        <v>-3.3703570539134933E-2</v>
      </c>
      <c r="O25" s="10"/>
      <c r="P25" s="22">
        <f>SUM(OSRRefP22x_0)</f>
        <v>42485.430000000008</v>
      </c>
      <c r="Q25" s="22"/>
      <c r="R25" s="31">
        <f t="shared" ref="R25:R35" si="16">IF(P$12=0,0,P25/P$12)</f>
        <v>2.7654833932726892</v>
      </c>
      <c r="S25" s="22"/>
      <c r="T25" s="22">
        <f>SUM(OSRRefT22x_0)</f>
        <v>48389.942062307688</v>
      </c>
      <c r="U25" s="22"/>
      <c r="V25" s="31">
        <f t="shared" ref="V25:V35" si="17">IF(T$12=0,0,T25/T$12)</f>
        <v>6.0201470592569901</v>
      </c>
      <c r="W25" s="4"/>
      <c r="X25" s="22">
        <f t="shared" ref="X25:X35" si="18">+P25-T25</f>
        <v>-5904.51206230768</v>
      </c>
      <c r="Y25" s="4"/>
      <c r="Z25" s="31">
        <f t="shared" ref="Z25:Z35" si="19">IF(T25=0,0,X25/T25)</f>
        <v>-0.12201940756004487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3007.4900000000002</v>
      </c>
      <c r="E26" s="1"/>
      <c r="F26" s="5">
        <f t="shared" si="12"/>
        <v>0.195765081121544</v>
      </c>
      <c r="G26" s="1"/>
      <c r="H26" s="1">
        <f>SUM(OSRRefH22_0x_0)</f>
        <v>4225.2122546153851</v>
      </c>
      <c r="I26" s="1"/>
      <c r="J26" s="5">
        <f t="shared" si="13"/>
        <v>0.52565467213428529</v>
      </c>
      <c r="K26" s="1"/>
      <c r="L26" s="1">
        <f t="shared" si="14"/>
        <v>-1217.7222546153848</v>
      </c>
      <c r="M26" s="1"/>
      <c r="N26" s="5">
        <f t="shared" si="15"/>
        <v>-0.28820380639699539</v>
      </c>
      <c r="O26" s="14"/>
      <c r="P26" s="1">
        <f>SUM(OSRRefP22_0x_0)</f>
        <v>4251.38</v>
      </c>
      <c r="Q26" s="1"/>
      <c r="R26" s="5">
        <f t="shared" si="16"/>
        <v>0.27673300678589446</v>
      </c>
      <c r="S26" s="1"/>
      <c r="T26" s="1">
        <f>SUM(OSRRefT22_0x_0)</f>
        <v>7647.74898538462</v>
      </c>
      <c r="U26" s="1"/>
      <c r="V26" s="5">
        <f t="shared" si="17"/>
        <v>0.95144923928646674</v>
      </c>
      <c r="W26" s="1"/>
      <c r="X26" s="1">
        <f t="shared" si="18"/>
        <v>-3396.3689853846199</v>
      </c>
      <c r="Y26" s="1"/>
      <c r="Z26" s="5">
        <f t="shared" si="19"/>
        <v>-0.44410047869972158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863.72</v>
      </c>
      <c r="E27" s="2"/>
      <c r="F27" s="7">
        <f t="shared" si="12"/>
        <v>5.6221705098371065E-2</v>
      </c>
      <c r="G27" s="2"/>
      <c r="H27" s="6">
        <v>677.743793076923</v>
      </c>
      <c r="I27" s="2"/>
      <c r="J27" s="7">
        <f t="shared" si="13"/>
        <v>8.4317466170306415E-2</v>
      </c>
      <c r="K27" s="2"/>
      <c r="L27" s="6">
        <f t="shared" si="14"/>
        <v>185.97620692307703</v>
      </c>
      <c r="M27" s="2"/>
      <c r="N27" s="7">
        <f t="shared" si="15"/>
        <v>0.27440488400307489</v>
      </c>
      <c r="O27" s="11"/>
      <c r="P27" s="6">
        <v>1110.8599999999999</v>
      </c>
      <c r="Q27" s="2"/>
      <c r="R27" s="7">
        <f t="shared" si="16"/>
        <v>7.2308668695383313E-2</v>
      </c>
      <c r="S27" s="2"/>
      <c r="T27" s="6">
        <v>1106.0174469230799</v>
      </c>
      <c r="U27" s="2"/>
      <c r="V27" s="7">
        <f t="shared" si="17"/>
        <v>0.13759858757440654</v>
      </c>
      <c r="W27" s="2"/>
      <c r="X27" s="6">
        <f t="shared" si="18"/>
        <v>4.8425530769200122</v>
      </c>
      <c r="Y27" s="2"/>
      <c r="Z27" s="7">
        <f t="shared" si="19"/>
        <v>4.3783695188461137E-3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394.48</v>
      </c>
      <c r="E28" s="2"/>
      <c r="F28" s="7">
        <f t="shared" si="12"/>
        <v>2.5677694423198973E-2</v>
      </c>
      <c r="G28" s="2"/>
      <c r="H28" s="6">
        <v>593.35948461538499</v>
      </c>
      <c r="I28" s="2"/>
      <c r="J28" s="7">
        <f t="shared" si="13"/>
        <v>7.3819293930752053E-2</v>
      </c>
      <c r="K28" s="2"/>
      <c r="L28" s="6">
        <f t="shared" si="14"/>
        <v>-198.87948461538497</v>
      </c>
      <c r="M28" s="2"/>
      <c r="N28" s="7">
        <f t="shared" si="15"/>
        <v>-0.33517536969059902</v>
      </c>
      <c r="O28" s="11"/>
      <c r="P28" s="6">
        <v>510.79</v>
      </c>
      <c r="Q28" s="2"/>
      <c r="R28" s="7">
        <f t="shared" si="16"/>
        <v>3.3248604579258274E-2</v>
      </c>
      <c r="S28" s="2"/>
      <c r="T28" s="6">
        <v>822.96351538461602</v>
      </c>
      <c r="U28" s="2"/>
      <c r="V28" s="7">
        <f t="shared" si="17"/>
        <v>0.10238411487740931</v>
      </c>
      <c r="W28" s="2"/>
      <c r="X28" s="6">
        <f t="shared" si="18"/>
        <v>-312.173515384616</v>
      </c>
      <c r="Y28" s="2"/>
      <c r="Z28" s="7">
        <f t="shared" si="19"/>
        <v>-0.37932849943988123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681.45</v>
      </c>
      <c r="E29" s="2"/>
      <c r="F29" s="7">
        <f t="shared" si="12"/>
        <v>4.4357292802395407E-2</v>
      </c>
      <c r="G29" s="2"/>
      <c r="H29" s="6">
        <v>1977</v>
      </c>
      <c r="I29" s="2"/>
      <c r="J29" s="7">
        <f t="shared" si="13"/>
        <v>0.24595670564817118</v>
      </c>
      <c r="K29" s="2"/>
      <c r="L29" s="6">
        <f t="shared" si="14"/>
        <v>-1295.55</v>
      </c>
      <c r="M29" s="2"/>
      <c r="N29" s="7">
        <f t="shared" si="15"/>
        <v>-0.65531107738998484</v>
      </c>
      <c r="O29" s="11"/>
      <c r="P29" s="6">
        <v>724.4</v>
      </c>
      <c r="Q29" s="2"/>
      <c r="R29" s="7">
        <f t="shared" si="16"/>
        <v>4.71530162243088E-2</v>
      </c>
      <c r="S29" s="2"/>
      <c r="T29" s="6">
        <v>3954</v>
      </c>
      <c r="U29" s="2"/>
      <c r="V29" s="7">
        <f t="shared" si="17"/>
        <v>0.49191341129634236</v>
      </c>
      <c r="W29" s="2"/>
      <c r="X29" s="6">
        <f t="shared" si="18"/>
        <v>-3229.6</v>
      </c>
      <c r="Y29" s="2"/>
      <c r="Z29" s="7">
        <f t="shared" si="19"/>
        <v>-0.8167931208902377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28.49</v>
      </c>
      <c r="E30" s="2"/>
      <c r="F30" s="7">
        <f t="shared" si="12"/>
        <v>1.8544856877837626E-3</v>
      </c>
      <c r="G30" s="2"/>
      <c r="H30" s="6">
        <v>32.877438461538503</v>
      </c>
      <c r="I30" s="2"/>
      <c r="J30" s="7">
        <f t="shared" si="13"/>
        <v>4.0902511148965546E-3</v>
      </c>
      <c r="K30" s="2"/>
      <c r="L30" s="6">
        <f t="shared" si="14"/>
        <v>-4.3874384615385047</v>
      </c>
      <c r="M30" s="2"/>
      <c r="N30" s="7">
        <f t="shared" si="15"/>
        <v>-0.13344830579399081</v>
      </c>
      <c r="O30" s="11"/>
      <c r="P30" s="6">
        <v>36.89</v>
      </c>
      <c r="Q30" s="2"/>
      <c r="R30" s="7">
        <f t="shared" si="16"/>
        <v>2.4012627947470342E-3</v>
      </c>
      <c r="S30" s="2"/>
      <c r="T30" s="6">
        <v>45.5995615384616</v>
      </c>
      <c r="U30" s="2"/>
      <c r="V30" s="7">
        <f t="shared" si="17"/>
        <v>5.6729984496717593E-3</v>
      </c>
      <c r="W30" s="2"/>
      <c r="X30" s="6">
        <f t="shared" si="18"/>
        <v>-8.7095615384615996</v>
      </c>
      <c r="Y30" s="2"/>
      <c r="Z30" s="7">
        <f t="shared" si="19"/>
        <v>-0.19100099309322077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408.69</v>
      </c>
      <c r="E31" s="2"/>
      <c r="F31" s="7">
        <f t="shared" si="12"/>
        <v>2.6602659029145173E-2</v>
      </c>
      <c r="G31" s="2"/>
      <c r="H31" s="6">
        <v>385.01538461538502</v>
      </c>
      <c r="I31" s="2"/>
      <c r="J31" s="7">
        <f t="shared" si="13"/>
        <v>4.7899400922541059E-2</v>
      </c>
      <c r="K31" s="2"/>
      <c r="L31" s="6">
        <f t="shared" si="14"/>
        <v>23.674615384614981</v>
      </c>
      <c r="M31" s="2"/>
      <c r="N31" s="7">
        <f t="shared" si="15"/>
        <v>6.149005034763734E-2</v>
      </c>
      <c r="O31" s="11"/>
      <c r="P31" s="6">
        <v>653.9</v>
      </c>
      <c r="Q31" s="2"/>
      <c r="R31" s="7">
        <f t="shared" si="16"/>
        <v>4.2563994076581339E-2</v>
      </c>
      <c r="S31" s="2"/>
      <c r="T31" s="6">
        <v>866.28461538461602</v>
      </c>
      <c r="U31" s="2"/>
      <c r="V31" s="7">
        <f t="shared" si="17"/>
        <v>0.10777365207571735</v>
      </c>
      <c r="W31" s="2"/>
      <c r="X31" s="6">
        <f t="shared" si="18"/>
        <v>-212.38461538461604</v>
      </c>
      <c r="Y31" s="2"/>
      <c r="Z31" s="7">
        <f t="shared" si="19"/>
        <v>-0.24516724828400743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6">
        <v>207.3</v>
      </c>
      <c r="E33" s="2"/>
      <c r="F33" s="7">
        <f t="shared" si="12"/>
        <v>1.3493677889700737E-2</v>
      </c>
      <c r="G33" s="2"/>
      <c r="H33" s="6">
        <v>134.30769230769201</v>
      </c>
      <c r="I33" s="2"/>
      <c r="J33" s="7">
        <f t="shared" si="13"/>
        <v>1.6709093345072406E-2</v>
      </c>
      <c r="K33" s="2"/>
      <c r="L33" s="6">
        <f t="shared" si="14"/>
        <v>72.992307692308003</v>
      </c>
      <c r="M33" s="2"/>
      <c r="N33" s="7">
        <f t="shared" si="15"/>
        <v>0.54347079037801038</v>
      </c>
      <c r="O33" s="11"/>
      <c r="P33" s="6">
        <v>414.6</v>
      </c>
      <c r="Q33" s="2"/>
      <c r="R33" s="7">
        <f t="shared" si="16"/>
        <v>2.6987355779401475E-2</v>
      </c>
      <c r="S33" s="2"/>
      <c r="T33" s="6">
        <v>302.192307692307</v>
      </c>
      <c r="U33" s="2"/>
      <c r="V33" s="7">
        <f t="shared" si="17"/>
        <v>3.7595460026412911E-2</v>
      </c>
      <c r="W33" s="2"/>
      <c r="X33" s="6">
        <f t="shared" si="18"/>
        <v>112.40769230769303</v>
      </c>
      <c r="Y33" s="2"/>
      <c r="Z33" s="7">
        <f t="shared" si="19"/>
        <v>0.37197403589156491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6">
        <v>248.36</v>
      </c>
      <c r="E34" s="2"/>
      <c r="F34" s="7">
        <f t="shared" si="12"/>
        <v>1.6166376462547396E-2</v>
      </c>
      <c r="G34" s="2"/>
      <c r="H34" s="6">
        <v>424.90846153846201</v>
      </c>
      <c r="I34" s="2"/>
      <c r="J34" s="7">
        <f t="shared" si="13"/>
        <v>5.2862461002545658E-2</v>
      </c>
      <c r="K34" s="2"/>
      <c r="L34" s="6">
        <f t="shared" si="14"/>
        <v>-176.54846153846199</v>
      </c>
      <c r="M34" s="2"/>
      <c r="N34" s="7">
        <f t="shared" si="15"/>
        <v>-0.41549763659503192</v>
      </c>
      <c r="O34" s="11"/>
      <c r="P34" s="6">
        <v>496.72</v>
      </c>
      <c r="Q34" s="2"/>
      <c r="R34" s="7">
        <f t="shared" si="16"/>
        <v>3.2332752925094792E-2</v>
      </c>
      <c r="S34" s="2"/>
      <c r="T34" s="6">
        <v>550.69153846153904</v>
      </c>
      <c r="U34" s="2"/>
      <c r="V34" s="7">
        <f t="shared" si="17"/>
        <v>6.8511014986506469E-2</v>
      </c>
      <c r="W34" s="2"/>
      <c r="X34" s="6">
        <f t="shared" si="18"/>
        <v>-53.971538461539012</v>
      </c>
      <c r="Y34" s="2"/>
      <c r="Z34" s="7">
        <f t="shared" si="19"/>
        <v>-9.8006841747230608E-2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6">
        <v>175</v>
      </c>
      <c r="E35" s="2"/>
      <c r="F35" s="7">
        <f t="shared" si="12"/>
        <v>1.1391189728401491E-2</v>
      </c>
      <c r="G35" s="2"/>
      <c r="H35" s="6"/>
      <c r="I35" s="2"/>
      <c r="J35" s="7">
        <f t="shared" si="13"/>
        <v>0</v>
      </c>
      <c r="K35" s="2"/>
      <c r="L35" s="6">
        <f t="shared" si="14"/>
        <v>175</v>
      </c>
      <c r="M35" s="2"/>
      <c r="N35" s="7">
        <f t="shared" si="15"/>
        <v>0</v>
      </c>
      <c r="O35" s="11"/>
      <c r="P35" s="6">
        <v>303.22000000000003</v>
      </c>
      <c r="Q35" s="2"/>
      <c r="R35" s="7">
        <f t="shared" si="16"/>
        <v>1.9737351711119431E-2</v>
      </c>
      <c r="S35" s="2"/>
      <c r="T35" s="6"/>
      <c r="U35" s="2"/>
      <c r="V35" s="7">
        <f t="shared" si="17"/>
        <v>0</v>
      </c>
      <c r="W35" s="2"/>
      <c r="X35" s="6">
        <f t="shared" si="18"/>
        <v>303.22000000000003</v>
      </c>
      <c r="Y35" s="2"/>
      <c r="Z35" s="7">
        <f t="shared" si="19"/>
        <v>0</v>
      </c>
    </row>
    <row r="36" spans="1:26" s="28" customFormat="1" outlineLevel="1" collapsed="1" x14ac:dyDescent="0.3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14283.49</v>
      </c>
      <c r="E36" s="1"/>
      <c r="F36" s="5">
        <f t="shared" ref="F36:F46" si="20">IF(D$12=0,0,D36/D$12)</f>
        <v>0.92974825470700229</v>
      </c>
      <c r="G36" s="1"/>
      <c r="H36" s="1">
        <f>SUM(OSRRefH22_1x_0)</f>
        <v>15096.706923076919</v>
      </c>
      <c r="I36" s="1"/>
      <c r="J36" s="5">
        <f t="shared" ref="J36:J46" si="21">IF(H$12=0,0,H36/H$12)</f>
        <v>1.8781670717935954</v>
      </c>
      <c r="K36" s="1"/>
      <c r="L36" s="1">
        <f t="shared" ref="L36:L46" si="22">+D36-H36</f>
        <v>-813.21692307691956</v>
      </c>
      <c r="M36" s="1"/>
      <c r="N36" s="5">
        <f t="shared" ref="N36:N46" si="23">IF(H36=0,0,L36/H36)</f>
        <v>-5.3867172968286955E-2</v>
      </c>
      <c r="O36" s="14"/>
      <c r="P36" s="1">
        <f>SUM(OSRRefP22_1x_0)</f>
        <v>19274.25</v>
      </c>
      <c r="Q36" s="1"/>
      <c r="R36" s="5">
        <f t="shared" ref="R36:R46" si="24">IF(P$12=0,0,P36/P$12)</f>
        <v>1.2546093635579567</v>
      </c>
      <c r="S36" s="1"/>
      <c r="T36" s="1">
        <f>SUM(OSRRefT22_1x_0)</f>
        <v>20861.193076923071</v>
      </c>
      <c r="U36" s="1"/>
      <c r="V36" s="5">
        <f t="shared" ref="V36:V46" si="25">IF(T$12=0,0,T36/T$12)</f>
        <v>2.5953213581641044</v>
      </c>
      <c r="W36" s="1"/>
      <c r="X36" s="1">
        <f t="shared" ref="X36:X46" si="26">+P36-T36</f>
        <v>-1586.9430769230712</v>
      </c>
      <c r="Y36" s="1"/>
      <c r="Z36" s="5">
        <f t="shared" ref="Z36:Z46" si="27">IF(T36=0,0,X36/T36)</f>
        <v>-7.6071539679989281E-2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6">
        <v>5384.62</v>
      </c>
      <c r="E38" s="2"/>
      <c r="F38" s="7">
        <f t="shared" si="20"/>
        <v>0.35049844591625845</v>
      </c>
      <c r="G38" s="2"/>
      <c r="H38" s="6">
        <v>4253.0769230769201</v>
      </c>
      <c r="I38" s="2"/>
      <c r="J38" s="7">
        <f t="shared" si="21"/>
        <v>0.52912128926062707</v>
      </c>
      <c r="K38" s="2"/>
      <c r="L38" s="6">
        <f t="shared" si="22"/>
        <v>1131.5430769230798</v>
      </c>
      <c r="M38" s="2"/>
      <c r="N38" s="7">
        <f t="shared" si="23"/>
        <v>0.26605281244348067</v>
      </c>
      <c r="O38" s="11"/>
      <c r="P38" s="6">
        <v>9961.3799999999992</v>
      </c>
      <c r="Q38" s="2"/>
      <c r="R38" s="7">
        <f t="shared" si="24"/>
        <v>0.64841125449545156</v>
      </c>
      <c r="S38" s="2"/>
      <c r="T38" s="6">
        <v>9569.4230769230708</v>
      </c>
      <c r="U38" s="2"/>
      <c r="V38" s="7">
        <f t="shared" si="25"/>
        <v>1.1905229008364109</v>
      </c>
      <c r="W38" s="2"/>
      <c r="X38" s="6">
        <f t="shared" si="26"/>
        <v>391.95692307692843</v>
      </c>
      <c r="Y38" s="2"/>
      <c r="Z38" s="7">
        <f t="shared" si="27"/>
        <v>4.0959305480195919E-2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6">
        <v>329.88</v>
      </c>
      <c r="E40" s="2"/>
      <c r="F40" s="7">
        <f t="shared" si="20"/>
        <v>2.1472718100600478E-2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329.88</v>
      </c>
      <c r="M40" s="2"/>
      <c r="N40" s="7">
        <f t="shared" si="23"/>
        <v>0</v>
      </c>
      <c r="O40" s="11"/>
      <c r="P40" s="6">
        <v>329.88</v>
      </c>
      <c r="Q40" s="2"/>
      <c r="R40" s="7">
        <f t="shared" si="24"/>
        <v>2.1472718100600478E-2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329.88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1464.81</v>
      </c>
      <c r="E41" s="2"/>
      <c r="F41" s="7">
        <f t="shared" si="20"/>
        <v>9.534816357748449E-2</v>
      </c>
      <c r="G41" s="2"/>
      <c r="H41" s="6">
        <v>6596</v>
      </c>
      <c r="I41" s="2"/>
      <c r="J41" s="7">
        <f t="shared" si="21"/>
        <v>0.82060213983578001</v>
      </c>
      <c r="K41" s="2"/>
      <c r="L41" s="6">
        <f t="shared" si="22"/>
        <v>-5131.1900000000005</v>
      </c>
      <c r="M41" s="2"/>
      <c r="N41" s="7">
        <f t="shared" si="23"/>
        <v>-0.77792449969678601</v>
      </c>
      <c r="O41" s="11"/>
      <c r="P41" s="6">
        <v>1464.81</v>
      </c>
      <c r="Q41" s="2"/>
      <c r="R41" s="7">
        <f t="shared" si="24"/>
        <v>9.534816357748449E-2</v>
      </c>
      <c r="S41" s="2"/>
      <c r="T41" s="6">
        <v>7044.14</v>
      </c>
      <c r="U41" s="2"/>
      <c r="V41" s="7">
        <f t="shared" si="25"/>
        <v>0.87635481463050513</v>
      </c>
      <c r="W41" s="2"/>
      <c r="X41" s="6">
        <f t="shared" si="26"/>
        <v>-5579.33</v>
      </c>
      <c r="Y41" s="2"/>
      <c r="Z41" s="7">
        <f t="shared" si="27"/>
        <v>-0.79205268492676173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6">
        <v>7104.18</v>
      </c>
      <c r="E43" s="2"/>
      <c r="F43" s="7">
        <f t="shared" si="20"/>
        <v>0.46242892711265887</v>
      </c>
      <c r="G43" s="2"/>
      <c r="H43" s="6">
        <v>4247.63</v>
      </c>
      <c r="I43" s="2"/>
      <c r="J43" s="7">
        <f t="shared" si="21"/>
        <v>0.52844364269718835</v>
      </c>
      <c r="K43" s="2"/>
      <c r="L43" s="6">
        <f t="shared" si="22"/>
        <v>2856.55</v>
      </c>
      <c r="M43" s="2"/>
      <c r="N43" s="7">
        <f t="shared" si="23"/>
        <v>0.67250443188319131</v>
      </c>
      <c r="O43" s="11"/>
      <c r="P43" s="6">
        <v>7518.18</v>
      </c>
      <c r="Q43" s="2"/>
      <c r="R43" s="7">
        <f t="shared" si="24"/>
        <v>0.48937722738442013</v>
      </c>
      <c r="S43" s="2"/>
      <c r="T43" s="6">
        <v>4247.63</v>
      </c>
      <c r="U43" s="2"/>
      <c r="V43" s="7">
        <f t="shared" si="25"/>
        <v>0.52844364269718835</v>
      </c>
      <c r="W43" s="2"/>
      <c r="X43" s="6">
        <f t="shared" si="26"/>
        <v>3270.55</v>
      </c>
      <c r="Y43" s="2"/>
      <c r="Z43" s="7">
        <f t="shared" si="27"/>
        <v>0.76997054828221856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8" customFormat="1" outlineLevel="1" collapsed="1" x14ac:dyDescent="0.3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27</v>
      </c>
      <c r="E47" s="1"/>
      <c r="F47" s="5">
        <f t="shared" ref="F47:F55" si="28">IF(D$12=0,0,D47/D$12)</f>
        <v>1.7574978438105156E-3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27</v>
      </c>
      <c r="M47" s="1"/>
      <c r="N47" s="5">
        <f t="shared" ref="N47:N55" si="31">IF(H47=0,0,L47/H47)</f>
        <v>0</v>
      </c>
      <c r="O47" s="14"/>
      <c r="P47" s="1">
        <f>SUM(OSRRefP22_2x_0)</f>
        <v>75.14</v>
      </c>
      <c r="Q47" s="1"/>
      <c r="R47" s="5">
        <f t="shared" ref="R47:R55" si="32">IF(P$12=0,0,P47/P$12)</f>
        <v>4.8910514068119318E-3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75.14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27</v>
      </c>
      <c r="E48" s="2"/>
      <c r="F48" s="7">
        <f t="shared" si="28"/>
        <v>1.7574978438105156E-3</v>
      </c>
      <c r="G48" s="2"/>
      <c r="H48" s="6"/>
      <c r="I48" s="2"/>
      <c r="J48" s="7">
        <f t="shared" si="29"/>
        <v>0</v>
      </c>
      <c r="K48" s="2"/>
      <c r="L48" s="6">
        <f t="shared" si="30"/>
        <v>27</v>
      </c>
      <c r="M48" s="2"/>
      <c r="N48" s="7">
        <f t="shared" si="31"/>
        <v>0</v>
      </c>
      <c r="O48" s="11"/>
      <c r="P48" s="6">
        <v>75.14</v>
      </c>
      <c r="Q48" s="2"/>
      <c r="R48" s="7">
        <f t="shared" si="32"/>
        <v>4.8910514068119318E-3</v>
      </c>
      <c r="S48" s="2"/>
      <c r="T48" s="6"/>
      <c r="U48" s="2"/>
      <c r="V48" s="7">
        <f t="shared" si="33"/>
        <v>0</v>
      </c>
      <c r="W48" s="2"/>
      <c r="X48" s="6">
        <f t="shared" si="34"/>
        <v>75.14</v>
      </c>
      <c r="Y48" s="2"/>
      <c r="Z48" s="7">
        <f t="shared" si="35"/>
        <v>0</v>
      </c>
    </row>
    <row r="49" spans="1:26" s="28" customFormat="1" outlineLevel="1" collapsed="1" x14ac:dyDescent="0.3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-102</v>
      </c>
      <c r="E49" s="1"/>
      <c r="F49" s="5">
        <f t="shared" si="28"/>
        <v>-6.6394362988397258E-3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-102</v>
      </c>
      <c r="M49" s="1"/>
      <c r="N49" s="5">
        <f t="shared" si="31"/>
        <v>0</v>
      </c>
      <c r="O49" s="14"/>
      <c r="P49" s="1">
        <f>SUM(OSRRefP22_3x_0)</f>
        <v>-102</v>
      </c>
      <c r="Q49" s="1"/>
      <c r="R49" s="5">
        <f t="shared" si="32"/>
        <v>-6.6394362988397258E-3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-102</v>
      </c>
      <c r="Y49" s="1"/>
      <c r="Z49" s="5">
        <f t="shared" si="35"/>
        <v>0</v>
      </c>
    </row>
    <row r="50" spans="1:26" s="24" customFormat="1" hidden="1" outlineLevel="2" x14ac:dyDescent="0.3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-102</v>
      </c>
      <c r="E50" s="2"/>
      <c r="F50" s="7">
        <f t="shared" si="28"/>
        <v>-6.6394362988397258E-3</v>
      </c>
      <c r="G50" s="2"/>
      <c r="H50" s="6"/>
      <c r="I50" s="2"/>
      <c r="J50" s="7">
        <f t="shared" si="29"/>
        <v>0</v>
      </c>
      <c r="K50" s="2"/>
      <c r="L50" s="6">
        <f t="shared" si="30"/>
        <v>-102</v>
      </c>
      <c r="M50" s="2"/>
      <c r="N50" s="7">
        <f t="shared" si="31"/>
        <v>0</v>
      </c>
      <c r="O50" s="11"/>
      <c r="P50" s="6">
        <v>-102</v>
      </c>
      <c r="Q50" s="2"/>
      <c r="R50" s="7">
        <f t="shared" si="32"/>
        <v>-6.6394362988397258E-3</v>
      </c>
      <c r="S50" s="2"/>
      <c r="T50" s="6"/>
      <c r="U50" s="2"/>
      <c r="V50" s="7">
        <f t="shared" si="33"/>
        <v>0</v>
      </c>
      <c r="W50" s="2"/>
      <c r="X50" s="6">
        <f t="shared" si="34"/>
        <v>-102</v>
      </c>
      <c r="Y50" s="2"/>
      <c r="Z50" s="7">
        <f t="shared" si="35"/>
        <v>0</v>
      </c>
    </row>
    <row r="51" spans="1:26" s="28" customFormat="1" outlineLevel="1" collapsed="1" x14ac:dyDescent="0.3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721.81</v>
      </c>
      <c r="E51" s="1"/>
      <c r="F51" s="5">
        <f t="shared" si="28"/>
        <v>4.6984426616328456E-2</v>
      </c>
      <c r="G51" s="1"/>
      <c r="H51" s="1">
        <f>SUM(OSRRefH22_4x_0)</f>
        <v>307</v>
      </c>
      <c r="I51" s="1"/>
      <c r="J51" s="5">
        <f t="shared" si="29"/>
        <v>3.8193580492659869E-2</v>
      </c>
      <c r="K51" s="1"/>
      <c r="L51" s="1">
        <f t="shared" si="30"/>
        <v>414.80999999999995</v>
      </c>
      <c r="M51" s="1"/>
      <c r="N51" s="5">
        <f t="shared" si="31"/>
        <v>1.3511726384364819</v>
      </c>
      <c r="O51" s="14"/>
      <c r="P51" s="1">
        <f>SUM(OSRRefP22_4x_0)</f>
        <v>721.81</v>
      </c>
      <c r="Q51" s="1"/>
      <c r="R51" s="5">
        <f t="shared" si="32"/>
        <v>4.6984426616328456E-2</v>
      </c>
      <c r="S51" s="1"/>
      <c r="T51" s="1">
        <f>SUM(OSRRefT22_4x_0)</f>
        <v>307</v>
      </c>
      <c r="U51" s="1"/>
      <c r="V51" s="5">
        <f t="shared" si="33"/>
        <v>3.8193580492659869E-2</v>
      </c>
      <c r="W51" s="1"/>
      <c r="X51" s="1">
        <f t="shared" si="34"/>
        <v>414.80999999999995</v>
      </c>
      <c r="Y51" s="1"/>
      <c r="Z51" s="5">
        <f t="shared" si="35"/>
        <v>1.3511726384364819</v>
      </c>
    </row>
    <row r="52" spans="1:26" s="24" customFormat="1" hidden="1" outlineLevel="2" x14ac:dyDescent="0.3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721.81</v>
      </c>
      <c r="E52" s="2"/>
      <c r="F52" s="7">
        <f t="shared" si="28"/>
        <v>4.6984426616328456E-2</v>
      </c>
      <c r="G52" s="2"/>
      <c r="H52" s="6">
        <v>307</v>
      </c>
      <c r="I52" s="2"/>
      <c r="J52" s="7">
        <f t="shared" si="29"/>
        <v>3.8193580492659869E-2</v>
      </c>
      <c r="K52" s="2"/>
      <c r="L52" s="6">
        <f t="shared" si="30"/>
        <v>414.80999999999995</v>
      </c>
      <c r="M52" s="2"/>
      <c r="N52" s="7">
        <f t="shared" si="31"/>
        <v>1.3511726384364819</v>
      </c>
      <c r="O52" s="11"/>
      <c r="P52" s="6">
        <v>721.81</v>
      </c>
      <c r="Q52" s="2"/>
      <c r="R52" s="7">
        <f t="shared" si="32"/>
        <v>4.6984426616328456E-2</v>
      </c>
      <c r="S52" s="2"/>
      <c r="T52" s="6">
        <v>307</v>
      </c>
      <c r="U52" s="2"/>
      <c r="V52" s="7">
        <f t="shared" si="33"/>
        <v>3.8193580492659869E-2</v>
      </c>
      <c r="W52" s="2"/>
      <c r="X52" s="6">
        <f t="shared" si="34"/>
        <v>414.80999999999995</v>
      </c>
      <c r="Y52" s="2"/>
      <c r="Z52" s="7">
        <f t="shared" si="35"/>
        <v>1.3511726384364819</v>
      </c>
    </row>
    <row r="53" spans="1:26" s="28" customFormat="1" outlineLevel="1" collapsed="1" x14ac:dyDescent="0.3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4626.5</v>
      </c>
      <c r="E53" s="1"/>
      <c r="F53" s="5">
        <f t="shared" si="28"/>
        <v>0.30115051016256855</v>
      </c>
      <c r="G53" s="1"/>
      <c r="H53" s="1">
        <f>SUM(OSRRefH22_5x_0)</f>
        <v>4733</v>
      </c>
      <c r="I53" s="1"/>
      <c r="J53" s="5">
        <f t="shared" si="29"/>
        <v>0.58882806668325449</v>
      </c>
      <c r="K53" s="1"/>
      <c r="L53" s="1">
        <f t="shared" si="30"/>
        <v>-106.5</v>
      </c>
      <c r="M53" s="1"/>
      <c r="N53" s="5">
        <f t="shared" si="31"/>
        <v>-2.2501584618635113E-2</v>
      </c>
      <c r="O53" s="14"/>
      <c r="P53" s="1">
        <f>SUM(OSRRefP22_5x_0)</f>
        <v>9253</v>
      </c>
      <c r="Q53" s="1"/>
      <c r="R53" s="5">
        <f t="shared" si="32"/>
        <v>0.6023010203251371</v>
      </c>
      <c r="S53" s="1"/>
      <c r="T53" s="1">
        <f>SUM(OSRRefT22_5x_0)</f>
        <v>9466</v>
      </c>
      <c r="U53" s="1"/>
      <c r="V53" s="5">
        <f t="shared" si="33"/>
        <v>1.177656133366509</v>
      </c>
      <c r="W53" s="1"/>
      <c r="X53" s="1">
        <f t="shared" si="34"/>
        <v>-213</v>
      </c>
      <c r="Y53" s="1"/>
      <c r="Z53" s="5">
        <f t="shared" si="35"/>
        <v>-2.2501584618635113E-2</v>
      </c>
    </row>
    <row r="54" spans="1:26" s="24" customFormat="1" hidden="1" outlineLevel="2" x14ac:dyDescent="0.3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4626.5</v>
      </c>
      <c r="E54" s="2"/>
      <c r="F54" s="7">
        <f t="shared" si="28"/>
        <v>0.30115051016256855</v>
      </c>
      <c r="G54" s="2"/>
      <c r="H54" s="6"/>
      <c r="I54" s="2"/>
      <c r="J54" s="7">
        <f t="shared" si="29"/>
        <v>0</v>
      </c>
      <c r="K54" s="2"/>
      <c r="L54" s="6">
        <f t="shared" si="30"/>
        <v>4626.5</v>
      </c>
      <c r="M54" s="2"/>
      <c r="N54" s="7">
        <f t="shared" si="31"/>
        <v>0</v>
      </c>
      <c r="O54" s="11"/>
      <c r="P54" s="6">
        <v>9253</v>
      </c>
      <c r="Q54" s="2"/>
      <c r="R54" s="7">
        <f t="shared" si="32"/>
        <v>0.6023010203251371</v>
      </c>
      <c r="S54" s="2"/>
      <c r="T54" s="6"/>
      <c r="U54" s="2"/>
      <c r="V54" s="7">
        <f t="shared" si="33"/>
        <v>0</v>
      </c>
      <c r="W54" s="2"/>
      <c r="X54" s="6">
        <f t="shared" si="34"/>
        <v>9253</v>
      </c>
      <c r="Y54" s="2"/>
      <c r="Z54" s="7">
        <f t="shared" si="35"/>
        <v>0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/>
      <c r="E55" s="2"/>
      <c r="F55" s="7">
        <f t="shared" si="28"/>
        <v>0</v>
      </c>
      <c r="G55" s="2"/>
      <c r="H55" s="6">
        <v>4733</v>
      </c>
      <c r="I55" s="2"/>
      <c r="J55" s="7">
        <f t="shared" si="29"/>
        <v>0.58882806668325449</v>
      </c>
      <c r="K55" s="2"/>
      <c r="L55" s="6">
        <f t="shared" si="30"/>
        <v>-4733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9466</v>
      </c>
      <c r="U55" s="2"/>
      <c r="V55" s="7">
        <f t="shared" si="33"/>
        <v>1.177656133366509</v>
      </c>
      <c r="W55" s="2"/>
      <c r="X55" s="6">
        <f t="shared" si="34"/>
        <v>-9466</v>
      </c>
      <c r="Y55" s="2"/>
      <c r="Z55" s="7">
        <f t="shared" si="35"/>
        <v>-1</v>
      </c>
    </row>
    <row r="56" spans="1:26" s="28" customFormat="1" outlineLevel="1" collapsed="1" x14ac:dyDescent="0.3">
      <c r="A56" s="29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0</v>
      </c>
      <c r="E56" s="1"/>
      <c r="F56" s="5">
        <f t="shared" ref="F56:F64" si="36">IF(D$12=0,0,D56/D$12)</f>
        <v>0</v>
      </c>
      <c r="G56" s="1"/>
      <c r="H56" s="1">
        <f>SUM(OSRRefH22_6x_0)</f>
        <v>20</v>
      </c>
      <c r="I56" s="1"/>
      <c r="J56" s="5">
        <f t="shared" ref="J56:J64" si="37">IF(H$12=0,0,H56/H$12)</f>
        <v>2.4881811395869621E-3</v>
      </c>
      <c r="K56" s="1"/>
      <c r="L56" s="1">
        <f t="shared" ref="L56:L64" si="38">+D56-H56</f>
        <v>-20</v>
      </c>
      <c r="M56" s="1"/>
      <c r="N56" s="5">
        <f t="shared" ref="N56:N64" si="39">IF(H56=0,0,L56/H56)</f>
        <v>-1</v>
      </c>
      <c r="O56" s="14"/>
      <c r="P56" s="1">
        <f>SUM(OSRRefP22_6x_0)</f>
        <v>0</v>
      </c>
      <c r="Q56" s="1"/>
      <c r="R56" s="5">
        <f t="shared" ref="R56:R64" si="40">IF(P$12=0,0,P56/P$12)</f>
        <v>0</v>
      </c>
      <c r="S56" s="1"/>
      <c r="T56" s="1">
        <f>SUM(OSRRefT22_6x_0)</f>
        <v>20</v>
      </c>
      <c r="U56" s="1"/>
      <c r="V56" s="5">
        <f t="shared" ref="V56:V64" si="41">IF(T$12=0,0,T56/T$12)</f>
        <v>2.4881811395869621E-3</v>
      </c>
      <c r="W56" s="1"/>
      <c r="X56" s="1">
        <f t="shared" ref="X56:X64" si="42">+P56-T56</f>
        <v>-20</v>
      </c>
      <c r="Y56" s="1"/>
      <c r="Z56" s="5">
        <f t="shared" ref="Z56:Z64" si="43">IF(T56=0,0,X56/T56)</f>
        <v>-1</v>
      </c>
    </row>
    <row r="57" spans="1:26" s="24" customFormat="1" hidden="1" outlineLevel="2" x14ac:dyDescent="0.3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>
        <v>20</v>
      </c>
      <c r="I57" s="2"/>
      <c r="J57" s="7">
        <f t="shared" si="37"/>
        <v>2.4881811395869621E-3</v>
      </c>
      <c r="K57" s="2"/>
      <c r="L57" s="6">
        <f t="shared" si="38"/>
        <v>-20</v>
      </c>
      <c r="M57" s="2"/>
      <c r="N57" s="7">
        <f t="shared" si="39"/>
        <v>-1</v>
      </c>
      <c r="O57" s="11"/>
      <c r="P57" s="6"/>
      <c r="Q57" s="2"/>
      <c r="R57" s="7">
        <f t="shared" si="40"/>
        <v>0</v>
      </c>
      <c r="S57" s="2"/>
      <c r="T57" s="6">
        <v>20</v>
      </c>
      <c r="U57" s="2"/>
      <c r="V57" s="7">
        <f t="shared" si="41"/>
        <v>2.4881811395869621E-3</v>
      </c>
      <c r="W57" s="2"/>
      <c r="X57" s="6">
        <f t="shared" si="42"/>
        <v>-20</v>
      </c>
      <c r="Y57" s="2"/>
      <c r="Z57" s="7">
        <f t="shared" si="43"/>
        <v>-1</v>
      </c>
    </row>
    <row r="58" spans="1:26" s="28" customFormat="1" outlineLevel="1" collapsed="1" x14ac:dyDescent="0.3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1887.3</v>
      </c>
      <c r="E58" s="1"/>
      <c r="F58" s="5">
        <f t="shared" si="36"/>
        <v>0.12284909928235505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1887.3</v>
      </c>
      <c r="M58" s="1"/>
      <c r="N58" s="5">
        <f t="shared" si="39"/>
        <v>0</v>
      </c>
      <c r="O58" s="14"/>
      <c r="P58" s="1">
        <f>SUM(OSRRefP22_7x_0)</f>
        <v>1887.3</v>
      </c>
      <c r="Q58" s="1"/>
      <c r="R58" s="5">
        <f t="shared" si="40"/>
        <v>0.12284909928235505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1887.3</v>
      </c>
      <c r="Y58" s="1"/>
      <c r="Z58" s="5">
        <f t="shared" si="43"/>
        <v>0</v>
      </c>
    </row>
    <row r="59" spans="1:26" s="24" customFormat="1" hidden="1" outlineLevel="2" x14ac:dyDescent="0.3">
      <c r="A59" s="27"/>
      <c r="B59" s="11" t="str">
        <f>CONCATENATE("          ", "6279", " - ", "GENERAL EXPENSE")</f>
        <v xml:space="preserve">          6279 - GENERAL EXPENSE</v>
      </c>
      <c r="C59" s="11"/>
      <c r="D59" s="6">
        <v>1887.3</v>
      </c>
      <c r="E59" s="2"/>
      <c r="F59" s="7">
        <f t="shared" si="36"/>
        <v>0.12284909928235505</v>
      </c>
      <c r="G59" s="2"/>
      <c r="H59" s="6"/>
      <c r="I59" s="2"/>
      <c r="J59" s="7">
        <f t="shared" si="37"/>
        <v>0</v>
      </c>
      <c r="K59" s="2"/>
      <c r="L59" s="6">
        <f t="shared" si="38"/>
        <v>1887.3</v>
      </c>
      <c r="M59" s="2"/>
      <c r="N59" s="7">
        <f t="shared" si="39"/>
        <v>0</v>
      </c>
      <c r="O59" s="11"/>
      <c r="P59" s="6">
        <v>1887.3</v>
      </c>
      <c r="Q59" s="2"/>
      <c r="R59" s="7">
        <f t="shared" si="40"/>
        <v>0.12284909928235505</v>
      </c>
      <c r="S59" s="2"/>
      <c r="T59" s="6"/>
      <c r="U59" s="2"/>
      <c r="V59" s="7">
        <f t="shared" si="41"/>
        <v>0</v>
      </c>
      <c r="W59" s="2"/>
      <c r="X59" s="6">
        <f t="shared" si="42"/>
        <v>1887.3</v>
      </c>
      <c r="Y59" s="2"/>
      <c r="Z59" s="7">
        <f t="shared" si="43"/>
        <v>0</v>
      </c>
    </row>
    <row r="60" spans="1:26" s="28" customFormat="1" outlineLevel="1" collapsed="1" x14ac:dyDescent="0.3">
      <c r="A60" s="29"/>
      <c r="B60" s="14" t="str">
        <f>CONCATENATE("     ","Rent                                              ")</f>
        <v xml:space="preserve">     Rent                                              </v>
      </c>
      <c r="C60" s="14"/>
      <c r="D60" s="1">
        <f>SUM(OSRRefD22_8x_0)</f>
        <v>1850</v>
      </c>
      <c r="E60" s="1"/>
      <c r="F60" s="5">
        <f t="shared" si="36"/>
        <v>0.12042114855738718</v>
      </c>
      <c r="G60" s="1"/>
      <c r="H60" s="1">
        <f>SUM(OSRRefH22_8x_0)</f>
        <v>1850</v>
      </c>
      <c r="I60" s="1"/>
      <c r="J60" s="5">
        <f t="shared" si="37"/>
        <v>0.23015675541179398</v>
      </c>
      <c r="K60" s="1"/>
      <c r="L60" s="1">
        <f t="shared" si="38"/>
        <v>0</v>
      </c>
      <c r="M60" s="1"/>
      <c r="N60" s="5">
        <f t="shared" si="39"/>
        <v>0</v>
      </c>
      <c r="O60" s="14"/>
      <c r="P60" s="1">
        <f>SUM(OSRRefP22_8x_0)</f>
        <v>3700</v>
      </c>
      <c r="Q60" s="1"/>
      <c r="R60" s="5">
        <f t="shared" si="40"/>
        <v>0.24084229711477437</v>
      </c>
      <c r="S60" s="1"/>
      <c r="T60" s="1">
        <f>SUM(OSRRefT22_8x_0)</f>
        <v>3700</v>
      </c>
      <c r="U60" s="1"/>
      <c r="V60" s="5">
        <f t="shared" si="41"/>
        <v>0.46031351082358796</v>
      </c>
      <c r="W60" s="1"/>
      <c r="X60" s="1">
        <f t="shared" si="42"/>
        <v>0</v>
      </c>
      <c r="Y60" s="1"/>
      <c r="Z60" s="5">
        <f t="shared" si="43"/>
        <v>0</v>
      </c>
    </row>
    <row r="61" spans="1:26" s="24" customFormat="1" hidden="1" outlineLevel="2" x14ac:dyDescent="0.3">
      <c r="A61" s="27"/>
      <c r="B61" s="11" t="str">
        <f>CONCATENATE("          ", "6273", " - ", "RENT")</f>
        <v xml:space="preserve">          6273 - RENT</v>
      </c>
      <c r="C61" s="11"/>
      <c r="D61" s="6">
        <v>1850</v>
      </c>
      <c r="E61" s="2"/>
      <c r="F61" s="7">
        <f t="shared" si="36"/>
        <v>0.12042114855738718</v>
      </c>
      <c r="G61" s="2"/>
      <c r="H61" s="6">
        <v>1850</v>
      </c>
      <c r="I61" s="2"/>
      <c r="J61" s="7">
        <f t="shared" si="37"/>
        <v>0.23015675541179398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3700</v>
      </c>
      <c r="Q61" s="2"/>
      <c r="R61" s="7">
        <f t="shared" si="40"/>
        <v>0.24084229711477437</v>
      </c>
      <c r="S61" s="2"/>
      <c r="T61" s="6">
        <v>3700</v>
      </c>
      <c r="U61" s="2"/>
      <c r="V61" s="7">
        <f t="shared" si="41"/>
        <v>0.46031351082358796</v>
      </c>
      <c r="W61" s="2"/>
      <c r="X61" s="6">
        <f t="shared" si="42"/>
        <v>0</v>
      </c>
      <c r="Y61" s="2"/>
      <c r="Z61" s="7">
        <f t="shared" si="43"/>
        <v>0</v>
      </c>
    </row>
    <row r="62" spans="1:26" s="28" customFormat="1" outlineLevel="1" collapsed="1" x14ac:dyDescent="0.3">
      <c r="A62" s="29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SUM(OSRRefD22_9x_0)</f>
        <v>1665.08</v>
      </c>
      <c r="E62" s="1"/>
      <c r="F62" s="5">
        <f t="shared" si="36"/>
        <v>0.10838424110266716</v>
      </c>
      <c r="G62" s="1"/>
      <c r="H62" s="1">
        <f>SUM(OSRRefH22_9x_0)</f>
        <v>500</v>
      </c>
      <c r="I62" s="1"/>
      <c r="J62" s="5">
        <f t="shared" si="37"/>
        <v>6.2204528489674046E-2</v>
      </c>
      <c r="K62" s="1"/>
      <c r="L62" s="1">
        <f t="shared" si="38"/>
        <v>1165.08</v>
      </c>
      <c r="M62" s="1"/>
      <c r="N62" s="5">
        <f t="shared" si="39"/>
        <v>2.3301599999999998</v>
      </c>
      <c r="O62" s="14"/>
      <c r="P62" s="1">
        <f>SUM(OSRRefP22_9x_0)</f>
        <v>1796.03</v>
      </c>
      <c r="Q62" s="1"/>
      <c r="R62" s="5">
        <f t="shared" si="40"/>
        <v>0.11690810564514817</v>
      </c>
      <c r="S62" s="1"/>
      <c r="T62" s="1">
        <f>SUM(OSRRefT22_9x_0)</f>
        <v>1150</v>
      </c>
      <c r="U62" s="1"/>
      <c r="V62" s="5">
        <f t="shared" si="41"/>
        <v>0.1430704155262503</v>
      </c>
      <c r="W62" s="1"/>
      <c r="X62" s="1">
        <f t="shared" si="42"/>
        <v>646.03</v>
      </c>
      <c r="Y62" s="1"/>
      <c r="Z62" s="5">
        <f t="shared" si="43"/>
        <v>0.56176521739130436</v>
      </c>
    </row>
    <row r="63" spans="1:26" s="24" customFormat="1" hidden="1" outlineLevel="2" x14ac:dyDescent="0.3">
      <c r="A63" s="27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/>
      <c r="Q63" s="2"/>
      <c r="R63" s="7">
        <f t="shared" si="40"/>
        <v>0</v>
      </c>
      <c r="S63" s="2"/>
      <c r="T63" s="6">
        <v>150</v>
      </c>
      <c r="U63" s="2"/>
      <c r="V63" s="7">
        <f t="shared" si="41"/>
        <v>1.8661358546902214E-2</v>
      </c>
      <c r="W63" s="2"/>
      <c r="X63" s="6">
        <f t="shared" si="42"/>
        <v>-150</v>
      </c>
      <c r="Y63" s="2"/>
      <c r="Z63" s="7">
        <f t="shared" si="43"/>
        <v>-1</v>
      </c>
    </row>
    <row r="64" spans="1:26" s="24" customFormat="1" hidden="1" outlineLevel="2" x14ac:dyDescent="0.3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1665.08</v>
      </c>
      <c r="E64" s="2"/>
      <c r="F64" s="7">
        <f t="shared" si="36"/>
        <v>0.10838424110266716</v>
      </c>
      <c r="G64" s="2"/>
      <c r="H64" s="6">
        <v>500</v>
      </c>
      <c r="I64" s="2"/>
      <c r="J64" s="7">
        <f t="shared" si="37"/>
        <v>6.2204528489674046E-2</v>
      </c>
      <c r="K64" s="2"/>
      <c r="L64" s="6">
        <f t="shared" si="38"/>
        <v>1165.08</v>
      </c>
      <c r="M64" s="2"/>
      <c r="N64" s="7">
        <f t="shared" si="39"/>
        <v>2.3301599999999998</v>
      </c>
      <c r="O64" s="11"/>
      <c r="P64" s="6">
        <v>1796.03</v>
      </c>
      <c r="Q64" s="2"/>
      <c r="R64" s="7">
        <f t="shared" si="40"/>
        <v>0.11690810564514817</v>
      </c>
      <c r="S64" s="2"/>
      <c r="T64" s="6">
        <v>1000</v>
      </c>
      <c r="U64" s="2"/>
      <c r="V64" s="7">
        <f t="shared" si="41"/>
        <v>0.12440905697934809</v>
      </c>
      <c r="W64" s="2"/>
      <c r="X64" s="6">
        <f t="shared" si="42"/>
        <v>796.03</v>
      </c>
      <c r="Y64" s="2"/>
      <c r="Z64" s="7">
        <f t="shared" si="43"/>
        <v>0.79603000000000002</v>
      </c>
    </row>
    <row r="65" spans="1:26" s="28" customFormat="1" outlineLevel="1" collapsed="1" x14ac:dyDescent="0.3">
      <c r="A65" s="29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SUM(OSRRefD22_10x_0)</f>
        <v>0</v>
      </c>
      <c r="E65" s="1"/>
      <c r="F65" s="5">
        <f t="shared" ref="F65:F69" si="44">IF(D$12=0,0,D65/D$12)</f>
        <v>0</v>
      </c>
      <c r="G65" s="1"/>
      <c r="H65" s="1">
        <f>SUM(OSRRefH22_10x_0)</f>
        <v>2333</v>
      </c>
      <c r="I65" s="1"/>
      <c r="J65" s="5">
        <f t="shared" ref="J65:J69" si="45">IF(H$12=0,0,H65/H$12)</f>
        <v>0.29024632993281912</v>
      </c>
      <c r="K65" s="1"/>
      <c r="L65" s="1">
        <f t="shared" ref="L65:L69" si="46">+D65-H65</f>
        <v>-2333</v>
      </c>
      <c r="M65" s="1"/>
      <c r="N65" s="5">
        <f t="shared" ref="N65:N69" si="47">IF(H65=0,0,L65/H65)</f>
        <v>-1</v>
      </c>
      <c r="O65" s="14"/>
      <c r="P65" s="1">
        <f>SUM(OSRRefP22_10x_0)</f>
        <v>0</v>
      </c>
      <c r="Q65" s="1"/>
      <c r="R65" s="5">
        <f t="shared" ref="R65:R69" si="48">IF(P$12=0,0,P65/P$12)</f>
        <v>0</v>
      </c>
      <c r="S65" s="1"/>
      <c r="T65" s="1">
        <f>SUM(OSRRefT22_10x_0)</f>
        <v>2333</v>
      </c>
      <c r="U65" s="1"/>
      <c r="V65" s="5">
        <f t="shared" ref="V65:V69" si="49">IF(T$12=0,0,T65/T$12)</f>
        <v>0.29024632993281912</v>
      </c>
      <c r="W65" s="1"/>
      <c r="X65" s="1">
        <f t="shared" ref="X65:X69" si="50">+P65-T65</f>
        <v>-2333</v>
      </c>
      <c r="Y65" s="1"/>
      <c r="Z65" s="5">
        <f t="shared" ref="Z65:Z69" si="51">IF(T65=0,0,X65/T65)</f>
        <v>-1</v>
      </c>
    </row>
    <row r="66" spans="1:26" s="24" customFormat="1" hidden="1" outlineLevel="2" x14ac:dyDescent="0.3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6"/>
      <c r="E66" s="2"/>
      <c r="F66" s="7">
        <f t="shared" si="44"/>
        <v>0</v>
      </c>
      <c r="G66" s="2"/>
      <c r="H66" s="6">
        <v>200</v>
      </c>
      <c r="I66" s="2"/>
      <c r="J66" s="7">
        <f t="shared" si="45"/>
        <v>2.4881811395869619E-2</v>
      </c>
      <c r="K66" s="2"/>
      <c r="L66" s="6">
        <f t="shared" si="46"/>
        <v>-200</v>
      </c>
      <c r="M66" s="2"/>
      <c r="N66" s="7">
        <f t="shared" si="47"/>
        <v>-1</v>
      </c>
      <c r="O66" s="11"/>
      <c r="P66" s="6"/>
      <c r="Q66" s="2"/>
      <c r="R66" s="7">
        <f t="shared" si="48"/>
        <v>0</v>
      </c>
      <c r="S66" s="2"/>
      <c r="T66" s="6">
        <v>200</v>
      </c>
      <c r="U66" s="2"/>
      <c r="V66" s="7">
        <f t="shared" si="49"/>
        <v>2.4881811395869619E-2</v>
      </c>
      <c r="W66" s="2"/>
      <c r="X66" s="6">
        <f t="shared" si="50"/>
        <v>-200</v>
      </c>
      <c r="Y66" s="2"/>
      <c r="Z66" s="7">
        <f t="shared" si="51"/>
        <v>-1</v>
      </c>
    </row>
    <row r="67" spans="1:26" s="24" customFormat="1" hidden="1" outlineLevel="2" x14ac:dyDescent="0.3">
      <c r="A67" s="27"/>
      <c r="B67" s="11" t="str">
        <f>CONCATENATE("          ", "6284", " - ", "TRASH REMOVAL EXPENSE")</f>
        <v xml:space="preserve">          6284 - TRASH REMOVAL EXPENSE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0</v>
      </c>
      <c r="U67" s="2"/>
      <c r="V67" s="7">
        <f t="shared" si="49"/>
        <v>0</v>
      </c>
      <c r="W67" s="2"/>
      <c r="X67" s="6">
        <f t="shared" si="50"/>
        <v>0</v>
      </c>
      <c r="Y67" s="2"/>
      <c r="Z67" s="7">
        <f t="shared" si="51"/>
        <v>0</v>
      </c>
    </row>
    <row r="68" spans="1:26" s="24" customFormat="1" hidden="1" outlineLevel="2" x14ac:dyDescent="0.3">
      <c r="A68" s="27"/>
      <c r="B68" s="11" t="str">
        <f>CONCATENATE("          ", "6285", " - ", "JANITORIAL SERVICES")</f>
        <v xml:space="preserve">          6285 - JANITORIAL SERVICES</v>
      </c>
      <c r="C68" s="11"/>
      <c r="D68" s="6"/>
      <c r="E68" s="2"/>
      <c r="F68" s="7">
        <f t="shared" si="44"/>
        <v>0</v>
      </c>
      <c r="G68" s="2"/>
      <c r="H68" s="6">
        <v>2083</v>
      </c>
      <c r="I68" s="2"/>
      <c r="J68" s="7">
        <f t="shared" si="45"/>
        <v>0.25914406568798209</v>
      </c>
      <c r="K68" s="2"/>
      <c r="L68" s="6">
        <f t="shared" si="46"/>
        <v>-2083</v>
      </c>
      <c r="M68" s="2"/>
      <c r="N68" s="7">
        <f t="shared" si="47"/>
        <v>-1</v>
      </c>
      <c r="O68" s="11"/>
      <c r="P68" s="6"/>
      <c r="Q68" s="2"/>
      <c r="R68" s="7">
        <f t="shared" si="48"/>
        <v>0</v>
      </c>
      <c r="S68" s="2"/>
      <c r="T68" s="6">
        <v>2083</v>
      </c>
      <c r="U68" s="2"/>
      <c r="V68" s="7">
        <f t="shared" si="49"/>
        <v>0.25914406568798209</v>
      </c>
      <c r="W68" s="2"/>
      <c r="X68" s="6">
        <f t="shared" si="50"/>
        <v>-2083</v>
      </c>
      <c r="Y68" s="2"/>
      <c r="Z68" s="7">
        <f t="shared" si="51"/>
        <v>-1</v>
      </c>
    </row>
    <row r="69" spans="1:26" s="24" customFormat="1" hidden="1" outlineLevel="2" x14ac:dyDescent="0.3">
      <c r="A69" s="27"/>
      <c r="B69" s="11" t="str">
        <f>CONCATENATE("          ", "6286", " - ", "LAUNDRY EXPENSE")</f>
        <v xml:space="preserve">          6286 - LAUNDRY EXPENSE</v>
      </c>
      <c r="C69" s="11"/>
      <c r="D69" s="6"/>
      <c r="E69" s="2"/>
      <c r="F69" s="7">
        <f t="shared" si="44"/>
        <v>0</v>
      </c>
      <c r="G69" s="2"/>
      <c r="H69" s="6">
        <v>50</v>
      </c>
      <c r="I69" s="2"/>
      <c r="J69" s="7">
        <f t="shared" si="45"/>
        <v>6.2204528489674046E-3</v>
      </c>
      <c r="K69" s="2"/>
      <c r="L69" s="6">
        <f t="shared" si="46"/>
        <v>-50</v>
      </c>
      <c r="M69" s="2"/>
      <c r="N69" s="7">
        <f t="shared" si="47"/>
        <v>-1</v>
      </c>
      <c r="O69" s="11"/>
      <c r="P69" s="6"/>
      <c r="Q69" s="2"/>
      <c r="R69" s="7">
        <f t="shared" si="48"/>
        <v>0</v>
      </c>
      <c r="S69" s="2"/>
      <c r="T69" s="6">
        <v>50</v>
      </c>
      <c r="U69" s="2"/>
      <c r="V69" s="7">
        <f t="shared" si="49"/>
        <v>6.2204528489674046E-3</v>
      </c>
      <c r="W69" s="2"/>
      <c r="X69" s="6">
        <f t="shared" si="50"/>
        <v>-50</v>
      </c>
      <c r="Y69" s="2"/>
      <c r="Z69" s="7">
        <f t="shared" si="51"/>
        <v>-1</v>
      </c>
    </row>
    <row r="70" spans="1:26" s="28" customFormat="1" outlineLevel="1" collapsed="1" x14ac:dyDescent="0.3">
      <c r="A70" s="29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SUM(OSRRefD22_11x_0)</f>
        <v>0</v>
      </c>
      <c r="E70" s="1"/>
      <c r="F70" s="5">
        <f t="shared" ref="F70:F80" si="52">IF(D$12=0,0,D70/D$12)</f>
        <v>0</v>
      </c>
      <c r="G70" s="1"/>
      <c r="H70" s="1">
        <f>SUM(OSRRefH22_11x_0)</f>
        <v>30</v>
      </c>
      <c r="I70" s="1"/>
      <c r="J70" s="5">
        <f t="shared" ref="J70:J80" si="53">IF(H$12=0,0,H70/H$12)</f>
        <v>3.732271709380443E-3</v>
      </c>
      <c r="K70" s="1"/>
      <c r="L70" s="1">
        <f t="shared" ref="L70:L80" si="54">+D70-H70</f>
        <v>-30</v>
      </c>
      <c r="M70" s="1"/>
      <c r="N70" s="5">
        <f t="shared" ref="N70:N80" si="55">IF(H70=0,0,L70/H70)</f>
        <v>-1</v>
      </c>
      <c r="O70" s="14"/>
      <c r="P70" s="1">
        <f>SUM(OSRRefP22_11x_0)</f>
        <v>0</v>
      </c>
      <c r="Q70" s="1"/>
      <c r="R70" s="5">
        <f t="shared" ref="R70:R80" si="56">IF(P$12=0,0,P70/P$12)</f>
        <v>0</v>
      </c>
      <c r="S70" s="1"/>
      <c r="T70" s="1">
        <f>SUM(OSRRefT22_11x_0)</f>
        <v>30</v>
      </c>
      <c r="U70" s="1"/>
      <c r="V70" s="5">
        <f t="shared" ref="V70:V80" si="57">IF(T$12=0,0,T70/T$12)</f>
        <v>3.732271709380443E-3</v>
      </c>
      <c r="W70" s="1"/>
      <c r="X70" s="1">
        <f t="shared" ref="X70:X80" si="58">+P70-T70</f>
        <v>-30</v>
      </c>
      <c r="Y70" s="1"/>
      <c r="Z70" s="5">
        <f t="shared" ref="Z70:Z80" si="59">IF(T70=0,0,X70/T70)</f>
        <v>-1</v>
      </c>
    </row>
    <row r="71" spans="1:26" s="24" customFormat="1" hidden="1" outlineLevel="2" x14ac:dyDescent="0.3">
      <c r="A71" s="27"/>
      <c r="B71" s="11" t="str">
        <f>CONCATENATE("          ", "6275", " - ", "SUBSCRIPTIONS")</f>
        <v xml:space="preserve">          6275 - SUBSCRIPTIONS</v>
      </c>
      <c r="C71" s="11"/>
      <c r="D71" s="6"/>
      <c r="E71" s="2"/>
      <c r="F71" s="7">
        <f t="shared" si="52"/>
        <v>0</v>
      </c>
      <c r="G71" s="2"/>
      <c r="H71" s="6">
        <v>30</v>
      </c>
      <c r="I71" s="2"/>
      <c r="J71" s="7">
        <f t="shared" si="53"/>
        <v>3.732271709380443E-3</v>
      </c>
      <c r="K71" s="2"/>
      <c r="L71" s="6">
        <f t="shared" si="54"/>
        <v>-30</v>
      </c>
      <c r="M71" s="2"/>
      <c r="N71" s="7">
        <f t="shared" si="55"/>
        <v>-1</v>
      </c>
      <c r="O71" s="11"/>
      <c r="P71" s="6"/>
      <c r="Q71" s="2"/>
      <c r="R71" s="7">
        <f t="shared" si="56"/>
        <v>0</v>
      </c>
      <c r="S71" s="2"/>
      <c r="T71" s="6">
        <v>30</v>
      </c>
      <c r="U71" s="2"/>
      <c r="V71" s="7">
        <f t="shared" si="57"/>
        <v>3.732271709380443E-3</v>
      </c>
      <c r="W71" s="2"/>
      <c r="X71" s="6">
        <f t="shared" si="58"/>
        <v>-30</v>
      </c>
      <c r="Y71" s="2"/>
      <c r="Z71" s="7">
        <f t="shared" si="59"/>
        <v>-1</v>
      </c>
    </row>
    <row r="72" spans="1:26" s="28" customFormat="1" outlineLevel="1" collapsed="1" x14ac:dyDescent="0.3">
      <c r="A72" s="29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SUM(OSRRefD22_12x_0)</f>
        <v>884.73</v>
      </c>
      <c r="E72" s="1"/>
      <c r="F72" s="5">
        <f t="shared" si="52"/>
        <v>5.758929879090658E-2</v>
      </c>
      <c r="G72" s="1"/>
      <c r="H72" s="1">
        <f>SUM(OSRRefH22_12x_0)</f>
        <v>775</v>
      </c>
      <c r="I72" s="1"/>
      <c r="J72" s="5">
        <f t="shared" si="53"/>
        <v>9.6417019158994768E-2</v>
      </c>
      <c r="K72" s="1"/>
      <c r="L72" s="1">
        <f t="shared" si="54"/>
        <v>109.73000000000002</v>
      </c>
      <c r="M72" s="1"/>
      <c r="N72" s="5">
        <f t="shared" si="55"/>
        <v>0.14158709677419357</v>
      </c>
      <c r="O72" s="14"/>
      <c r="P72" s="1">
        <f>SUM(OSRRefP22_12x_0)</f>
        <v>928.52</v>
      </c>
      <c r="Q72" s="1"/>
      <c r="R72" s="5">
        <f t="shared" si="56"/>
        <v>6.0439699923516298E-2</v>
      </c>
      <c r="S72" s="1"/>
      <c r="T72" s="1">
        <f>SUM(OSRRefT22_12x_0)</f>
        <v>2175</v>
      </c>
      <c r="U72" s="1"/>
      <c r="V72" s="5">
        <f t="shared" si="57"/>
        <v>0.27058969893008211</v>
      </c>
      <c r="W72" s="1"/>
      <c r="X72" s="1">
        <f t="shared" si="58"/>
        <v>-1246.48</v>
      </c>
      <c r="Y72" s="1"/>
      <c r="Z72" s="5">
        <f t="shared" si="59"/>
        <v>-0.57309425287356319</v>
      </c>
    </row>
    <row r="73" spans="1:26" s="24" customFormat="1" hidden="1" outlineLevel="2" x14ac:dyDescent="0.3">
      <c r="A73" s="27"/>
      <c r="B73" s="11" t="str">
        <f>CONCATENATE("          ", "6235", " - ", "COVID-19 EXPENSES")</f>
        <v xml:space="preserve">          6235 - COVID-19 EXPENSES</v>
      </c>
      <c r="C73" s="11"/>
      <c r="D73" s="6"/>
      <c r="E73" s="2"/>
      <c r="F73" s="7">
        <f t="shared" si="52"/>
        <v>0</v>
      </c>
      <c r="G73" s="2"/>
      <c r="H73" s="6">
        <v>75</v>
      </c>
      <c r="I73" s="2"/>
      <c r="J73" s="7">
        <f t="shared" si="53"/>
        <v>9.330679273451107E-3</v>
      </c>
      <c r="K73" s="2"/>
      <c r="L73" s="6">
        <f t="shared" si="54"/>
        <v>-75</v>
      </c>
      <c r="M73" s="2"/>
      <c r="N73" s="7">
        <f t="shared" si="55"/>
        <v>-1</v>
      </c>
      <c r="O73" s="11"/>
      <c r="P73" s="6"/>
      <c r="Q73" s="2"/>
      <c r="R73" s="7">
        <f t="shared" si="56"/>
        <v>0</v>
      </c>
      <c r="S73" s="2"/>
      <c r="T73" s="6">
        <v>325</v>
      </c>
      <c r="U73" s="2"/>
      <c r="V73" s="7">
        <f t="shared" si="57"/>
        <v>4.0432943518288134E-2</v>
      </c>
      <c r="W73" s="2"/>
      <c r="X73" s="6">
        <f t="shared" si="58"/>
        <v>-325</v>
      </c>
      <c r="Y73" s="2"/>
      <c r="Z73" s="7">
        <f t="shared" si="59"/>
        <v>-1</v>
      </c>
    </row>
    <row r="74" spans="1:26" s="24" customFormat="1" hidden="1" outlineLevel="2" x14ac:dyDescent="0.3">
      <c r="A74" s="27"/>
      <c r="B74" s="11" t="str">
        <f>CONCATENATE("          ", "6237", " - ", "JANITORIAL SUPPLIES")</f>
        <v xml:space="preserve">          6237 - JANITORIAL SUPPLIES</v>
      </c>
      <c r="C74" s="11"/>
      <c r="D74" s="6">
        <v>48.12</v>
      </c>
      <c r="E74" s="2"/>
      <c r="F74" s="7">
        <f t="shared" si="52"/>
        <v>3.1322517127467409E-3</v>
      </c>
      <c r="G74" s="2"/>
      <c r="H74" s="6"/>
      <c r="I74" s="2"/>
      <c r="J74" s="7">
        <f t="shared" si="53"/>
        <v>0</v>
      </c>
      <c r="K74" s="2"/>
      <c r="L74" s="6">
        <f t="shared" si="54"/>
        <v>48.12</v>
      </c>
      <c r="M74" s="2"/>
      <c r="N74" s="7">
        <f t="shared" si="55"/>
        <v>0</v>
      </c>
      <c r="O74" s="11"/>
      <c r="P74" s="6">
        <v>48.12</v>
      </c>
      <c r="Q74" s="2"/>
      <c r="R74" s="7">
        <f t="shared" si="56"/>
        <v>3.1322517127467409E-3</v>
      </c>
      <c r="S74" s="2"/>
      <c r="T74" s="6"/>
      <c r="U74" s="2"/>
      <c r="V74" s="7">
        <f t="shared" si="57"/>
        <v>0</v>
      </c>
      <c r="W74" s="2"/>
      <c r="X74" s="6">
        <f t="shared" si="58"/>
        <v>48.12</v>
      </c>
      <c r="Y74" s="2"/>
      <c r="Z74" s="7">
        <f t="shared" si="59"/>
        <v>0</v>
      </c>
    </row>
    <row r="75" spans="1:26" s="24" customFormat="1" hidden="1" outlineLevel="2" x14ac:dyDescent="0.3">
      <c r="A75" s="27"/>
      <c r="B75" s="11" t="str">
        <f>CONCATENATE("          ", "6239", " - ", "KITCHEN SUPPLIES")</f>
        <v xml:space="preserve">          6239 - KITCHEN SUPPLIES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/>
      <c r="Q75" s="2"/>
      <c r="R75" s="7">
        <f t="shared" si="56"/>
        <v>0</v>
      </c>
      <c r="S75" s="2"/>
      <c r="T75" s="6">
        <v>100</v>
      </c>
      <c r="U75" s="2"/>
      <c r="V75" s="7">
        <f t="shared" si="57"/>
        <v>1.2440905697934809E-2</v>
      </c>
      <c r="W75" s="2"/>
      <c r="X75" s="6">
        <f t="shared" si="58"/>
        <v>-100</v>
      </c>
      <c r="Y75" s="2"/>
      <c r="Z75" s="7">
        <f t="shared" si="59"/>
        <v>-1</v>
      </c>
    </row>
    <row r="76" spans="1:26" s="24" customFormat="1" hidden="1" outlineLevel="2" x14ac:dyDescent="0.3">
      <c r="A76" s="27"/>
      <c r="B76" s="11" t="str">
        <f>CONCATENATE("          ", "6241", " - ", "OFFICE EXPENSE")</f>
        <v xml:space="preserve">          6241 - OFFICE EXPENSE</v>
      </c>
      <c r="C76" s="11"/>
      <c r="D76" s="6">
        <v>636.61</v>
      </c>
      <c r="E76" s="2"/>
      <c r="F76" s="7">
        <f t="shared" si="52"/>
        <v>4.1438544531415274E-2</v>
      </c>
      <c r="G76" s="2"/>
      <c r="H76" s="6">
        <v>50</v>
      </c>
      <c r="I76" s="2"/>
      <c r="J76" s="7">
        <f t="shared" si="53"/>
        <v>6.2204528489674046E-3</v>
      </c>
      <c r="K76" s="2"/>
      <c r="L76" s="6">
        <f t="shared" si="54"/>
        <v>586.61</v>
      </c>
      <c r="M76" s="2"/>
      <c r="N76" s="7">
        <f t="shared" si="55"/>
        <v>11.732200000000001</v>
      </c>
      <c r="O76" s="11"/>
      <c r="P76" s="6">
        <v>680.4</v>
      </c>
      <c r="Q76" s="2"/>
      <c r="R76" s="7">
        <f t="shared" si="56"/>
        <v>4.4288945664024991E-2</v>
      </c>
      <c r="S76" s="2"/>
      <c r="T76" s="6">
        <v>50</v>
      </c>
      <c r="U76" s="2"/>
      <c r="V76" s="7">
        <f t="shared" si="57"/>
        <v>6.2204528489674046E-3</v>
      </c>
      <c r="W76" s="2"/>
      <c r="X76" s="6">
        <f t="shared" si="58"/>
        <v>630.4</v>
      </c>
      <c r="Y76" s="2"/>
      <c r="Z76" s="7">
        <f t="shared" si="59"/>
        <v>12.607999999999999</v>
      </c>
    </row>
    <row r="77" spans="1:26" s="24" customFormat="1" hidden="1" outlineLevel="2" x14ac:dyDescent="0.3">
      <c r="A77" s="27"/>
      <c r="B77" s="11" t="str">
        <f>CONCATENATE("          ", "6243", " - ", "PAPER SUPPLIES")</f>
        <v xml:space="preserve">          6243 - PAPER SUPPLIES</v>
      </c>
      <c r="C77" s="11"/>
      <c r="D77" s="6"/>
      <c r="E77" s="2"/>
      <c r="F77" s="7">
        <f t="shared" si="52"/>
        <v>0</v>
      </c>
      <c r="G77" s="2"/>
      <c r="H77" s="6">
        <v>500</v>
      </c>
      <c r="I77" s="2"/>
      <c r="J77" s="7">
        <f t="shared" si="53"/>
        <v>6.2204528489674046E-2</v>
      </c>
      <c r="K77" s="2"/>
      <c r="L77" s="6">
        <f t="shared" si="54"/>
        <v>-500</v>
      </c>
      <c r="M77" s="2"/>
      <c r="N77" s="7">
        <f t="shared" si="55"/>
        <v>-1</v>
      </c>
      <c r="O77" s="11"/>
      <c r="P77" s="6"/>
      <c r="Q77" s="2"/>
      <c r="R77" s="7">
        <f t="shared" si="56"/>
        <v>0</v>
      </c>
      <c r="S77" s="2"/>
      <c r="T77" s="6">
        <v>500</v>
      </c>
      <c r="U77" s="2"/>
      <c r="V77" s="7">
        <f t="shared" si="57"/>
        <v>6.2204528489674046E-2</v>
      </c>
      <c r="W77" s="2"/>
      <c r="X77" s="6">
        <f t="shared" si="58"/>
        <v>-500</v>
      </c>
      <c r="Y77" s="2"/>
      <c r="Z77" s="7">
        <f t="shared" si="59"/>
        <v>-1</v>
      </c>
    </row>
    <row r="78" spans="1:26" s="24" customFormat="1" hidden="1" outlineLevel="2" x14ac:dyDescent="0.3">
      <c r="A78" s="27"/>
      <c r="B78" s="11" t="str">
        <f>CONCATENATE("          ", "6245", " - ", "PRINTING")</f>
        <v xml:space="preserve">          6245 - PRINTING</v>
      </c>
      <c r="C78" s="11"/>
      <c r="D78" s="6"/>
      <c r="E78" s="2"/>
      <c r="F78" s="7">
        <f t="shared" si="52"/>
        <v>0</v>
      </c>
      <c r="G78" s="2"/>
      <c r="H78" s="6">
        <v>150</v>
      </c>
      <c r="I78" s="2"/>
      <c r="J78" s="7">
        <f t="shared" si="53"/>
        <v>1.8661358546902214E-2</v>
      </c>
      <c r="K78" s="2"/>
      <c r="L78" s="6">
        <f t="shared" si="54"/>
        <v>-150</v>
      </c>
      <c r="M78" s="2"/>
      <c r="N78" s="7">
        <f t="shared" si="55"/>
        <v>-1</v>
      </c>
      <c r="O78" s="11"/>
      <c r="P78" s="6"/>
      <c r="Q78" s="2"/>
      <c r="R78" s="7">
        <f t="shared" si="56"/>
        <v>0</v>
      </c>
      <c r="S78" s="2"/>
      <c r="T78" s="6">
        <v>400</v>
      </c>
      <c r="U78" s="2"/>
      <c r="V78" s="7">
        <f t="shared" si="57"/>
        <v>4.9763622791739237E-2</v>
      </c>
      <c r="W78" s="2"/>
      <c r="X78" s="6">
        <f t="shared" si="58"/>
        <v>-400</v>
      </c>
      <c r="Y78" s="2"/>
      <c r="Z78" s="7">
        <f t="shared" si="59"/>
        <v>-1</v>
      </c>
    </row>
    <row r="79" spans="1:26" s="24" customFormat="1" hidden="1" outlineLevel="2" x14ac:dyDescent="0.3">
      <c r="A79" s="27"/>
      <c r="B79" s="11" t="str">
        <f>CONCATENATE("          ", "6247", " - ", "STORE SUPPLIES")</f>
        <v xml:space="preserve">          6247 - STORE SUPPLIES</v>
      </c>
      <c r="C79" s="11"/>
      <c r="D79" s="6">
        <v>200</v>
      </c>
      <c r="E79" s="2"/>
      <c r="F79" s="7">
        <f t="shared" si="52"/>
        <v>1.3018502546744561E-2</v>
      </c>
      <c r="G79" s="2"/>
      <c r="H79" s="6"/>
      <c r="I79" s="2"/>
      <c r="J79" s="7">
        <f t="shared" si="53"/>
        <v>0</v>
      </c>
      <c r="K79" s="2"/>
      <c r="L79" s="6">
        <f t="shared" si="54"/>
        <v>200</v>
      </c>
      <c r="M79" s="2"/>
      <c r="N79" s="7">
        <f t="shared" si="55"/>
        <v>0</v>
      </c>
      <c r="O79" s="11"/>
      <c r="P79" s="6">
        <v>200</v>
      </c>
      <c r="Q79" s="2"/>
      <c r="R79" s="7">
        <f t="shared" si="56"/>
        <v>1.3018502546744561E-2</v>
      </c>
      <c r="S79" s="2"/>
      <c r="T79" s="6"/>
      <c r="U79" s="2"/>
      <c r="V79" s="7">
        <f t="shared" si="57"/>
        <v>0</v>
      </c>
      <c r="W79" s="2"/>
      <c r="X79" s="6">
        <f t="shared" si="58"/>
        <v>200</v>
      </c>
      <c r="Y79" s="2"/>
      <c r="Z79" s="7">
        <f t="shared" si="59"/>
        <v>0</v>
      </c>
    </row>
    <row r="80" spans="1:26" s="24" customFormat="1" hidden="1" outlineLevel="2" x14ac:dyDescent="0.3">
      <c r="A80" s="27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/>
      <c r="Q80" s="2"/>
      <c r="R80" s="7">
        <f t="shared" si="56"/>
        <v>0</v>
      </c>
      <c r="S80" s="2"/>
      <c r="T80" s="6">
        <v>800</v>
      </c>
      <c r="U80" s="2"/>
      <c r="V80" s="7">
        <f t="shared" si="57"/>
        <v>9.9527245583478474E-2</v>
      </c>
      <c r="W80" s="2"/>
      <c r="X80" s="6">
        <f t="shared" si="58"/>
        <v>-800</v>
      </c>
      <c r="Y80" s="2"/>
      <c r="Z80" s="7">
        <f t="shared" si="59"/>
        <v>-1</v>
      </c>
    </row>
    <row r="81" spans="1:26" s="28" customFormat="1" outlineLevel="1" collapsed="1" x14ac:dyDescent="0.3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SUM(OSRRefD22_13x_0)</f>
        <v>150</v>
      </c>
      <c r="E81" s="1"/>
      <c r="F81" s="5">
        <f t="shared" ref="F81:F84" si="60">IF(D$12=0,0,D81/D$12)</f>
        <v>9.7638769100584204E-3</v>
      </c>
      <c r="G81" s="1"/>
      <c r="H81" s="1">
        <f>SUM(OSRRefH22_13x_0)</f>
        <v>150</v>
      </c>
      <c r="I81" s="1"/>
      <c r="J81" s="5">
        <f t="shared" ref="J81:J84" si="61">IF(H$12=0,0,H81/H$12)</f>
        <v>1.8661358546902214E-2</v>
      </c>
      <c r="K81" s="1"/>
      <c r="L81" s="1">
        <f t="shared" ref="L81:L84" si="62">+D81-H81</f>
        <v>0</v>
      </c>
      <c r="M81" s="1"/>
      <c r="N81" s="5">
        <f t="shared" ref="N81:N84" si="63">IF(H81=0,0,L81/H81)</f>
        <v>0</v>
      </c>
      <c r="O81" s="14"/>
      <c r="P81" s="1">
        <f>SUM(OSRRefP22_13x_0)</f>
        <v>300</v>
      </c>
      <c r="Q81" s="1"/>
      <c r="R81" s="5">
        <f t="shared" ref="R81:R84" si="64">IF(P$12=0,0,P81/P$12)</f>
        <v>1.9527753820116841E-2</v>
      </c>
      <c r="S81" s="1"/>
      <c r="T81" s="1">
        <f>SUM(OSRRefT22_13x_0)</f>
        <v>300</v>
      </c>
      <c r="U81" s="1"/>
      <c r="V81" s="5">
        <f t="shared" ref="V81:V84" si="65">IF(T$12=0,0,T81/T$12)</f>
        <v>3.7322717093804428E-2</v>
      </c>
      <c r="W81" s="1"/>
      <c r="X81" s="1">
        <f t="shared" ref="X81:X84" si="66">+P81-T81</f>
        <v>0</v>
      </c>
      <c r="Y81" s="1"/>
      <c r="Z81" s="5">
        <f t="shared" ref="Z81:Z84" si="67">IF(T81=0,0,X81/T81)</f>
        <v>0</v>
      </c>
    </row>
    <row r="82" spans="1:26" s="24" customFormat="1" hidden="1" outlineLevel="2" x14ac:dyDescent="0.3">
      <c r="A82" s="27"/>
      <c r="B82" s="11" t="str">
        <f>CONCATENATE("          ", "6309", " - ", "TELEPHONE")</f>
        <v xml:space="preserve">          6309 - TELEPHONE</v>
      </c>
      <c r="C82" s="11"/>
      <c r="D82" s="6">
        <v>150</v>
      </c>
      <c r="E82" s="2"/>
      <c r="F82" s="7">
        <f t="shared" si="60"/>
        <v>9.7638769100584204E-3</v>
      </c>
      <c r="G82" s="2"/>
      <c r="H82" s="6">
        <v>150</v>
      </c>
      <c r="I82" s="2"/>
      <c r="J82" s="7">
        <f t="shared" si="61"/>
        <v>1.8661358546902214E-2</v>
      </c>
      <c r="K82" s="2"/>
      <c r="L82" s="6">
        <f t="shared" si="62"/>
        <v>0</v>
      </c>
      <c r="M82" s="2"/>
      <c r="N82" s="7">
        <f t="shared" si="63"/>
        <v>0</v>
      </c>
      <c r="O82" s="11"/>
      <c r="P82" s="6">
        <v>300</v>
      </c>
      <c r="Q82" s="2"/>
      <c r="R82" s="7">
        <f t="shared" si="64"/>
        <v>1.9527753820116841E-2</v>
      </c>
      <c r="S82" s="2"/>
      <c r="T82" s="6">
        <v>300</v>
      </c>
      <c r="U82" s="2"/>
      <c r="V82" s="7">
        <f t="shared" si="65"/>
        <v>3.7322717093804428E-2</v>
      </c>
      <c r="W82" s="2"/>
      <c r="X82" s="6">
        <f t="shared" si="66"/>
        <v>0</v>
      </c>
      <c r="Y82" s="2"/>
      <c r="Z82" s="7">
        <f t="shared" si="67"/>
        <v>0</v>
      </c>
    </row>
    <row r="83" spans="1:26" s="28" customFormat="1" outlineLevel="1" collapsed="1" x14ac:dyDescent="0.3">
      <c r="A83" s="29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SUM(OSRRefD22_14x_0)</f>
        <v>200</v>
      </c>
      <c r="E83" s="1"/>
      <c r="F83" s="5">
        <f t="shared" si="60"/>
        <v>1.3018502546744561E-2</v>
      </c>
      <c r="G83" s="1"/>
      <c r="H83" s="1">
        <f>SUM(OSRRefH22_14x_0)</f>
        <v>200</v>
      </c>
      <c r="I83" s="1"/>
      <c r="J83" s="5">
        <f t="shared" si="61"/>
        <v>2.4881811395869619E-2</v>
      </c>
      <c r="K83" s="1"/>
      <c r="L83" s="1">
        <f t="shared" si="62"/>
        <v>0</v>
      </c>
      <c r="M83" s="1"/>
      <c r="N83" s="5">
        <f t="shared" si="63"/>
        <v>0</v>
      </c>
      <c r="O83" s="14"/>
      <c r="P83" s="1">
        <f>SUM(OSRRefP22_14x_0)</f>
        <v>400</v>
      </c>
      <c r="Q83" s="1"/>
      <c r="R83" s="5">
        <f t="shared" si="64"/>
        <v>2.6037005093489121E-2</v>
      </c>
      <c r="S83" s="1"/>
      <c r="T83" s="1">
        <f>SUM(OSRRefT22_14x_0)</f>
        <v>400</v>
      </c>
      <c r="U83" s="1"/>
      <c r="V83" s="5">
        <f t="shared" si="65"/>
        <v>4.9763622791739237E-2</v>
      </c>
      <c r="W83" s="1"/>
      <c r="X83" s="1">
        <f t="shared" si="66"/>
        <v>0</v>
      </c>
      <c r="Y83" s="1"/>
      <c r="Z83" s="5">
        <f t="shared" si="67"/>
        <v>0</v>
      </c>
    </row>
    <row r="84" spans="1:26" s="24" customFormat="1" hidden="1" outlineLevel="2" x14ac:dyDescent="0.3">
      <c r="A84" s="27"/>
      <c r="B84" s="11" t="str">
        <f>CONCATENATE("          ", "6274", " - ", "UTILITIES")</f>
        <v xml:space="preserve">          6274 - UTILITIES</v>
      </c>
      <c r="C84" s="11"/>
      <c r="D84" s="6">
        <v>200</v>
      </c>
      <c r="E84" s="2"/>
      <c r="F84" s="7">
        <f t="shared" si="60"/>
        <v>1.3018502546744561E-2</v>
      </c>
      <c r="G84" s="2"/>
      <c r="H84" s="6">
        <v>200</v>
      </c>
      <c r="I84" s="2"/>
      <c r="J84" s="7">
        <f t="shared" si="61"/>
        <v>2.4881811395869619E-2</v>
      </c>
      <c r="K84" s="2"/>
      <c r="L84" s="6">
        <f t="shared" si="62"/>
        <v>0</v>
      </c>
      <c r="M84" s="2"/>
      <c r="N84" s="7">
        <f t="shared" si="63"/>
        <v>0</v>
      </c>
      <c r="O84" s="11"/>
      <c r="P84" s="6">
        <v>400</v>
      </c>
      <c r="Q84" s="2"/>
      <c r="R84" s="7">
        <f t="shared" si="64"/>
        <v>2.6037005093489121E-2</v>
      </c>
      <c r="S84" s="2"/>
      <c r="T84" s="6">
        <v>400</v>
      </c>
      <c r="U84" s="2"/>
      <c r="V84" s="7">
        <f t="shared" si="65"/>
        <v>4.9763622791739237E-2</v>
      </c>
      <c r="W84" s="2"/>
      <c r="X84" s="6">
        <f t="shared" si="66"/>
        <v>0</v>
      </c>
      <c r="Y84" s="2"/>
      <c r="Z84" s="7">
        <f t="shared" si="67"/>
        <v>0</v>
      </c>
    </row>
    <row r="85" spans="1:26" s="53" customFormat="1" x14ac:dyDescent="0.3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3">
      <c r="A86" s="10"/>
      <c r="B86" s="25" t="s">
        <v>293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10"/>
      <c r="B88" s="26" t="s">
        <v>277</v>
      </c>
      <c r="C88" s="26"/>
      <c r="D88" s="21">
        <f>+D23-D25+D86</f>
        <v>-19676.919999999998</v>
      </c>
      <c r="E88" s="13"/>
      <c r="F88" s="20">
        <f>IF(D$12=0,0,D88/D$12)</f>
        <v>-1.2808201656604448</v>
      </c>
      <c r="G88" s="13"/>
      <c r="H88" s="21">
        <f>+H23-H25+H86</f>
        <v>-25235.919177692307</v>
      </c>
      <c r="I88" s="13"/>
      <c r="J88" s="20">
        <f>IF(H$12=0,0,H88/H$12)</f>
        <v>-3.1395769069037458</v>
      </c>
      <c r="K88" s="16"/>
      <c r="L88" s="21">
        <f>+D88-H88</f>
        <v>5558.9991776923089</v>
      </c>
      <c r="M88" s="16"/>
      <c r="N88" s="20">
        <f>IF(H88=0,0,L88/H88)</f>
        <v>-0.22028122449394572</v>
      </c>
      <c r="O88" s="25"/>
      <c r="P88" s="21">
        <f>+P23-P25+P86</f>
        <v>-32960.950000000012</v>
      </c>
      <c r="Q88" s="13"/>
      <c r="R88" s="20">
        <f>IF(P$12=0,0,P88/P$12)</f>
        <v>-2.1455110575906016</v>
      </c>
      <c r="S88" s="13"/>
      <c r="T88" s="21">
        <f>+T23-T25+T86</f>
        <v>-43405.942062307688</v>
      </c>
      <c r="U88" s="13"/>
      <c r="V88" s="20">
        <f>IF(T$12=0,0,T88/T$12)</f>
        <v>-5.400092319271919</v>
      </c>
      <c r="W88" s="16"/>
      <c r="X88" s="21">
        <f>+P88-T88</f>
        <v>10444.992062307676</v>
      </c>
      <c r="Y88" s="16"/>
      <c r="Z88" s="20">
        <f>IF(T88=0,0,X88/T88)</f>
        <v>-0.24063507358771896</v>
      </c>
    </row>
    <row r="89" spans="1:26" x14ac:dyDescent="0.3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">
      <c r="A90" s="52"/>
      <c r="B90" s="10" t="s">
        <v>128</v>
      </c>
      <c r="C90" s="10"/>
      <c r="D90" s="4">
        <v>2295.6999999999998</v>
      </c>
      <c r="E90" s="4"/>
      <c r="F90" s="12">
        <f>IF(D$12=0,0,D90/D$12)</f>
        <v>0.14943288148280742</v>
      </c>
      <c r="G90" s="4"/>
      <c r="H90" s="4">
        <v>900</v>
      </c>
      <c r="I90" s="4"/>
      <c r="J90" s="12">
        <f>IF(H$12=0,0,H90/H$12)</f>
        <v>0.11196815128141328</v>
      </c>
      <c r="K90" s="4"/>
      <c r="L90" s="4">
        <f>+D90-H90</f>
        <v>1395.6999999999998</v>
      </c>
      <c r="M90" s="4"/>
      <c r="N90" s="12">
        <f>IF(H90=0,0,L90/H90)</f>
        <v>1.5507777777777776</v>
      </c>
      <c r="O90" s="10"/>
      <c r="P90" s="4">
        <v>2295.6999999999998</v>
      </c>
      <c r="Q90" s="4"/>
      <c r="R90" s="12">
        <f>IF(P$12=0,0,P90/P$12)</f>
        <v>0.14943288148280742</v>
      </c>
      <c r="S90" s="4"/>
      <c r="T90" s="4">
        <v>900</v>
      </c>
      <c r="U90" s="4"/>
      <c r="V90" s="12">
        <f>IF(T$12=0,0,T90/T$12)</f>
        <v>0.11196815128141328</v>
      </c>
      <c r="W90" s="4"/>
      <c r="X90" s="4">
        <f>+P90-T90</f>
        <v>1395.6999999999998</v>
      </c>
      <c r="Y90" s="4"/>
      <c r="Z90" s="12">
        <f>IF(T90=0,0,X90/T90)</f>
        <v>1.5507777777777776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" thickBot="1" x14ac:dyDescent="0.35">
      <c r="A92" s="10"/>
      <c r="B92" s="26" t="s">
        <v>126</v>
      </c>
      <c r="C92" s="26"/>
      <c r="D92" s="30">
        <f>+D88-D90</f>
        <v>-21972.62</v>
      </c>
      <c r="E92" s="13"/>
      <c r="F92" s="35">
        <f>IF(D$12=0,0,D92/D$12)</f>
        <v>-1.4302530471432522</v>
      </c>
      <c r="G92" s="13"/>
      <c r="H92" s="30">
        <f>+H88-H90</f>
        <v>-26135.919177692307</v>
      </c>
      <c r="I92" s="13"/>
      <c r="J92" s="35">
        <f>IF(H$12=0,0,H92/H$12)</f>
        <v>-3.251545058185159</v>
      </c>
      <c r="K92" s="16"/>
      <c r="L92" s="30">
        <f>D92-H92</f>
        <v>4163.2991776923081</v>
      </c>
      <c r="M92" s="16"/>
      <c r="N92" s="35">
        <f>IF(H92=0,0,L92/H92)</f>
        <v>-0.15929415565555441</v>
      </c>
      <c r="O92" s="25"/>
      <c r="P92" s="30">
        <f>+P88-P90</f>
        <v>-35256.650000000009</v>
      </c>
      <c r="Q92" s="13"/>
      <c r="R92" s="35">
        <f>IF(P$12=0,0,P92/P$12)</f>
        <v>-2.2949439390734088</v>
      </c>
      <c r="S92" s="13"/>
      <c r="T92" s="30">
        <f>+T88-T90</f>
        <v>-44305.942062307688</v>
      </c>
      <c r="U92" s="13"/>
      <c r="V92" s="35">
        <f>IF(T$12=0,0,T92/T$12)</f>
        <v>-5.5120604705533323</v>
      </c>
      <c r="W92" s="16"/>
      <c r="X92" s="30">
        <f>P92-T92</f>
        <v>9049.2920623076789</v>
      </c>
      <c r="Y92" s="16"/>
      <c r="Z92" s="35">
        <f>IF(T92=0,0,X92/T92)</f>
        <v>-0.20424556258349297</v>
      </c>
    </row>
    <row r="93" spans="1:26" ht="15" thickTop="1" x14ac:dyDescent="0.3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6" t="s">
        <v>294</v>
      </c>
      <c r="C95" s="26"/>
      <c r="D95" s="32">
        <f>SUM(D92:D94)</f>
        <v>-21972.62</v>
      </c>
      <c r="E95" s="13"/>
      <c r="F95" s="34">
        <f>IF(D$12=0,0,D95/D$12)</f>
        <v>-1.4302530471432522</v>
      </c>
      <c r="G95" s="13"/>
      <c r="H95" s="32">
        <f>SUM(H92:H94)</f>
        <v>-26135.919177692307</v>
      </c>
      <c r="I95" s="13"/>
      <c r="J95" s="34">
        <f>IF(H$12=0,0,H95/H$12)</f>
        <v>-3.251545058185159</v>
      </c>
      <c r="K95" s="16"/>
      <c r="L95" s="32">
        <f>+D95-H95</f>
        <v>4163.2991776923081</v>
      </c>
      <c r="M95" s="16"/>
      <c r="N95" s="34">
        <f>IF(H95=0,0,L95/H95)</f>
        <v>-0.15929415565555441</v>
      </c>
      <c r="O95" s="25"/>
      <c r="P95" s="32">
        <f>SUM(P92:P94)</f>
        <v>-35256.650000000009</v>
      </c>
      <c r="Q95" s="13"/>
      <c r="R95" s="34">
        <f>IF(P$12=0,0,P95/P$12)</f>
        <v>-2.2949439390734088</v>
      </c>
      <c r="S95" s="13"/>
      <c r="T95" s="32">
        <f>SUM(T92:T94)</f>
        <v>-44305.942062307688</v>
      </c>
      <c r="U95" s="13"/>
      <c r="V95" s="34">
        <f>IF(T$12=0,0,T95/T$12)</f>
        <v>-5.5120604705533323</v>
      </c>
      <c r="W95" s="16"/>
      <c r="X95" s="32">
        <f>+P95-T95</f>
        <v>9049.2920623076789</v>
      </c>
      <c r="Y95" s="16"/>
      <c r="Z95" s="34">
        <f>IF(T95=0,0,X95/T95)</f>
        <v>-0.20424556258349297</v>
      </c>
    </row>
    <row r="96" spans="1:26" ht="15" thickTop="1" x14ac:dyDescent="0.3">
      <c r="A96" s="9"/>
      <c r="C96" s="9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61">
        <v>44470.835499687499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A98" s="9"/>
      <c r="B98" s="58" t="s">
        <v>56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">
      <c r="A99" s="9"/>
      <c r="B99" s="55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3"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","411", " - ", "University Dining")</f>
        <v>Department 411 - University Dining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57506.31</v>
      </c>
      <c r="E18" s="22"/>
      <c r="F18" s="31">
        <f t="shared" ref="F18:F28" si="0">IF(D$12=0,0,D18/D$12)</f>
        <v>0</v>
      </c>
      <c r="G18" s="22"/>
      <c r="H18" s="22">
        <f>SUM(OSRRefH22x_0)</f>
        <v>41947.132430769241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15559.177569230756</v>
      </c>
      <c r="M18" s="4"/>
      <c r="N18" s="31">
        <f t="shared" ref="N18:N28" si="3">IF(H18=0,0,L18/H18)</f>
        <v>0.37092350937004032</v>
      </c>
      <c r="O18" s="10"/>
      <c r="P18" s="22">
        <f>SUM(OSRRefP22x_0)</f>
        <v>106058.25</v>
      </c>
      <c r="Q18" s="22"/>
      <c r="R18" s="31">
        <f t="shared" ref="R18:R28" si="4">IF(P$12=0,0,P18/P$12)</f>
        <v>0</v>
      </c>
      <c r="S18" s="22"/>
      <c r="T18" s="22">
        <f>SUM(OSRRefT22x_0)</f>
        <v>89729.797969230756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16328.452030769244</v>
      </c>
      <c r="Y18" s="4"/>
      <c r="Z18" s="31">
        <f t="shared" ref="Z18:Z28" si="7">IF(T18=0,0,X18/T18)</f>
        <v>0.18197357400011568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9143.380000000001</v>
      </c>
      <c r="E19" s="1"/>
      <c r="F19" s="5">
        <f t="shared" si="0"/>
        <v>0</v>
      </c>
      <c r="G19" s="1"/>
      <c r="H19" s="1">
        <f>SUM(OSRRefH22_0x_0)</f>
        <v>8483.2093538461559</v>
      </c>
      <c r="I19" s="1"/>
      <c r="J19" s="5">
        <f t="shared" si="1"/>
        <v>0</v>
      </c>
      <c r="K19" s="1"/>
      <c r="L19" s="1">
        <f t="shared" si="2"/>
        <v>660.17064615384515</v>
      </c>
      <c r="M19" s="1"/>
      <c r="N19" s="5">
        <f t="shared" si="3"/>
        <v>7.7820859844102988E-2</v>
      </c>
      <c r="O19" s="14"/>
      <c r="P19" s="1">
        <f>SUM(OSRRefP22_0x_0)</f>
        <v>18128.690000000002</v>
      </c>
      <c r="Q19" s="1"/>
      <c r="R19" s="5">
        <f t="shared" si="4"/>
        <v>0</v>
      </c>
      <c r="S19" s="1"/>
      <c r="T19" s="1">
        <f>SUM(OSRRefT22_0x_0)</f>
        <v>18308.721046153853</v>
      </c>
      <c r="U19" s="1"/>
      <c r="V19" s="5">
        <f t="shared" si="5"/>
        <v>0</v>
      </c>
      <c r="W19" s="1"/>
      <c r="X19" s="1">
        <f t="shared" si="6"/>
        <v>-180.03104615385018</v>
      </c>
      <c r="Y19" s="1"/>
      <c r="Z19" s="5">
        <f t="shared" si="7"/>
        <v>-9.8330760351865009E-3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1346.24</v>
      </c>
      <c r="E20" s="2"/>
      <c r="F20" s="7">
        <f t="shared" si="0"/>
        <v>0</v>
      </c>
      <c r="G20" s="2"/>
      <c r="H20" s="6">
        <v>1358.2308923076901</v>
      </c>
      <c r="I20" s="2"/>
      <c r="J20" s="7">
        <f t="shared" si="1"/>
        <v>0</v>
      </c>
      <c r="K20" s="2"/>
      <c r="L20" s="6">
        <f t="shared" si="2"/>
        <v>-11.990892307690046</v>
      </c>
      <c r="M20" s="2"/>
      <c r="N20" s="7">
        <f t="shared" si="3"/>
        <v>-8.8283165812235564E-3</v>
      </c>
      <c r="O20" s="11"/>
      <c r="P20" s="6">
        <v>2663.34</v>
      </c>
      <c r="Q20" s="2"/>
      <c r="R20" s="7">
        <f t="shared" si="4"/>
        <v>0</v>
      </c>
      <c r="S20" s="2"/>
      <c r="T20" s="6">
        <v>3056.0195076923101</v>
      </c>
      <c r="U20" s="2"/>
      <c r="V20" s="7">
        <f t="shared" si="5"/>
        <v>0</v>
      </c>
      <c r="W20" s="2"/>
      <c r="X20" s="6">
        <f t="shared" si="6"/>
        <v>-392.67950769230993</v>
      </c>
      <c r="Y20" s="2"/>
      <c r="Z20" s="7">
        <f t="shared" si="7"/>
        <v>-0.12849378307432133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224.03</v>
      </c>
      <c r="E21" s="2"/>
      <c r="F21" s="7">
        <f t="shared" si="0"/>
        <v>0</v>
      </c>
      <c r="G21" s="2"/>
      <c r="H21" s="6">
        <v>672.63753846153895</v>
      </c>
      <c r="I21" s="2"/>
      <c r="J21" s="7">
        <f t="shared" si="1"/>
        <v>0</v>
      </c>
      <c r="K21" s="2"/>
      <c r="L21" s="6">
        <f t="shared" si="2"/>
        <v>-448.60753846153898</v>
      </c>
      <c r="M21" s="2"/>
      <c r="N21" s="7">
        <f t="shared" si="3"/>
        <v>-0.66693800570155082</v>
      </c>
      <c r="O21" s="11"/>
      <c r="P21" s="6">
        <v>446.13</v>
      </c>
      <c r="Q21" s="2"/>
      <c r="R21" s="7">
        <f t="shared" si="4"/>
        <v>0</v>
      </c>
      <c r="S21" s="2"/>
      <c r="T21" s="6">
        <v>1513.43446153846</v>
      </c>
      <c r="U21" s="2"/>
      <c r="V21" s="7">
        <f t="shared" si="5"/>
        <v>0</v>
      </c>
      <c r="W21" s="2"/>
      <c r="X21" s="6">
        <f t="shared" si="6"/>
        <v>-1067.3044615384601</v>
      </c>
      <c r="Y21" s="2"/>
      <c r="Z21" s="7">
        <f t="shared" si="7"/>
        <v>-0.70522013913539883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3318.36</v>
      </c>
      <c r="E22" s="2"/>
      <c r="F22" s="7">
        <f t="shared" si="0"/>
        <v>0</v>
      </c>
      <c r="G22" s="2"/>
      <c r="H22" s="6">
        <v>2764</v>
      </c>
      <c r="I22" s="2"/>
      <c r="J22" s="7">
        <f t="shared" si="1"/>
        <v>0</v>
      </c>
      <c r="K22" s="2"/>
      <c r="L22" s="6">
        <f t="shared" si="2"/>
        <v>554.36000000000013</v>
      </c>
      <c r="M22" s="2"/>
      <c r="N22" s="7">
        <f t="shared" si="3"/>
        <v>0.20056439942112886</v>
      </c>
      <c r="O22" s="11"/>
      <c r="P22" s="6">
        <v>6636.72</v>
      </c>
      <c r="Q22" s="2"/>
      <c r="R22" s="7">
        <f t="shared" si="4"/>
        <v>0</v>
      </c>
      <c r="S22" s="2"/>
      <c r="T22" s="6">
        <v>5528</v>
      </c>
      <c r="U22" s="2"/>
      <c r="V22" s="7">
        <f t="shared" si="5"/>
        <v>0</v>
      </c>
      <c r="W22" s="2"/>
      <c r="X22" s="6">
        <f t="shared" si="6"/>
        <v>1108.7200000000003</v>
      </c>
      <c r="Y22" s="2"/>
      <c r="Z22" s="7">
        <f t="shared" si="7"/>
        <v>0.20056439942112886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45.15</v>
      </c>
      <c r="E23" s="2"/>
      <c r="F23" s="7">
        <f t="shared" si="0"/>
        <v>0</v>
      </c>
      <c r="G23" s="2"/>
      <c r="H23" s="6">
        <v>37.270153846153903</v>
      </c>
      <c r="I23" s="2"/>
      <c r="J23" s="7">
        <f t="shared" si="1"/>
        <v>0</v>
      </c>
      <c r="K23" s="2"/>
      <c r="L23" s="6">
        <f t="shared" si="2"/>
        <v>7.8798461538460955</v>
      </c>
      <c r="M23" s="2"/>
      <c r="N23" s="7">
        <f t="shared" si="3"/>
        <v>0.2114251040221895</v>
      </c>
      <c r="O23" s="11"/>
      <c r="P23" s="6">
        <v>89.91</v>
      </c>
      <c r="Q23" s="2"/>
      <c r="R23" s="7">
        <f t="shared" si="4"/>
        <v>0</v>
      </c>
      <c r="S23" s="2"/>
      <c r="T23" s="6">
        <v>83.857846153846296</v>
      </c>
      <c r="U23" s="2"/>
      <c r="V23" s="7">
        <f t="shared" si="5"/>
        <v>0</v>
      </c>
      <c r="W23" s="2"/>
      <c r="X23" s="6">
        <f t="shared" si="6"/>
        <v>6.0521538461537006</v>
      </c>
      <c r="Y23" s="2"/>
      <c r="Z23" s="7">
        <f t="shared" si="7"/>
        <v>7.2171587081432662E-2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1873.21</v>
      </c>
      <c r="E24" s="2"/>
      <c r="F24" s="7">
        <f t="shared" si="0"/>
        <v>0</v>
      </c>
      <c r="G24" s="2"/>
      <c r="H24" s="6">
        <v>1526.3015384615401</v>
      </c>
      <c r="I24" s="2"/>
      <c r="J24" s="7">
        <f t="shared" si="1"/>
        <v>0</v>
      </c>
      <c r="K24" s="2"/>
      <c r="L24" s="6">
        <f t="shared" si="2"/>
        <v>346.90846153845996</v>
      </c>
      <c r="M24" s="2"/>
      <c r="N24" s="7">
        <f t="shared" si="3"/>
        <v>0.22728697626036062</v>
      </c>
      <c r="O24" s="11"/>
      <c r="P24" s="6">
        <v>3746.42</v>
      </c>
      <c r="Q24" s="2"/>
      <c r="R24" s="7">
        <f t="shared" si="4"/>
        <v>0</v>
      </c>
      <c r="S24" s="2"/>
      <c r="T24" s="6">
        <v>3434.1784615384699</v>
      </c>
      <c r="U24" s="2"/>
      <c r="V24" s="7">
        <f t="shared" si="5"/>
        <v>0</v>
      </c>
      <c r="W24" s="2"/>
      <c r="X24" s="6">
        <f t="shared" si="6"/>
        <v>312.24153846153013</v>
      </c>
      <c r="Y24" s="2"/>
      <c r="Z24" s="7">
        <f t="shared" si="7"/>
        <v>9.0921756675874599E-2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1518.94</v>
      </c>
      <c r="E26" s="2"/>
      <c r="F26" s="7">
        <f t="shared" si="0"/>
        <v>0</v>
      </c>
      <c r="G26" s="2"/>
      <c r="H26" s="6">
        <v>1648</v>
      </c>
      <c r="I26" s="2"/>
      <c r="J26" s="7">
        <f t="shared" si="1"/>
        <v>0</v>
      </c>
      <c r="K26" s="2"/>
      <c r="L26" s="6">
        <f t="shared" si="2"/>
        <v>-129.05999999999995</v>
      </c>
      <c r="M26" s="2"/>
      <c r="N26" s="7">
        <f t="shared" si="3"/>
        <v>-7.8313106796116472E-2</v>
      </c>
      <c r="O26" s="11"/>
      <c r="P26" s="6">
        <v>3037.88</v>
      </c>
      <c r="Q26" s="2"/>
      <c r="R26" s="7">
        <f t="shared" si="4"/>
        <v>0</v>
      </c>
      <c r="S26" s="2"/>
      <c r="T26" s="6">
        <v>3708</v>
      </c>
      <c r="U26" s="2"/>
      <c r="V26" s="7">
        <f t="shared" si="5"/>
        <v>0</v>
      </c>
      <c r="W26" s="2"/>
      <c r="X26" s="6">
        <f t="shared" si="6"/>
        <v>-670.11999999999989</v>
      </c>
      <c r="Y26" s="2"/>
      <c r="Z26" s="7">
        <f t="shared" si="7"/>
        <v>-0.18072276159654799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510.58</v>
      </c>
      <c r="E27" s="2"/>
      <c r="F27" s="7">
        <f t="shared" si="0"/>
        <v>0</v>
      </c>
      <c r="G27" s="2"/>
      <c r="H27" s="6">
        <v>126.769230769231</v>
      </c>
      <c r="I27" s="2"/>
      <c r="J27" s="7">
        <f t="shared" si="1"/>
        <v>0</v>
      </c>
      <c r="K27" s="2"/>
      <c r="L27" s="6">
        <f t="shared" si="2"/>
        <v>383.81076923076898</v>
      </c>
      <c r="M27" s="2"/>
      <c r="N27" s="7">
        <f t="shared" si="3"/>
        <v>3.0276334951456234</v>
      </c>
      <c r="O27" s="11"/>
      <c r="P27" s="6">
        <v>1021.16</v>
      </c>
      <c r="Q27" s="2"/>
      <c r="R27" s="7">
        <f t="shared" si="4"/>
        <v>0</v>
      </c>
      <c r="S27" s="2"/>
      <c r="T27" s="6">
        <v>285.23076923077002</v>
      </c>
      <c r="U27" s="2"/>
      <c r="V27" s="7">
        <f t="shared" si="5"/>
        <v>0</v>
      </c>
      <c r="W27" s="2"/>
      <c r="X27" s="6">
        <f t="shared" si="6"/>
        <v>735.92923076922989</v>
      </c>
      <c r="Y27" s="2"/>
      <c r="Z27" s="7">
        <f t="shared" si="7"/>
        <v>2.5801186623516617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306.87</v>
      </c>
      <c r="E28" s="2"/>
      <c r="F28" s="7">
        <f t="shared" si="0"/>
        <v>0</v>
      </c>
      <c r="G28" s="2"/>
      <c r="H28" s="6">
        <v>350</v>
      </c>
      <c r="I28" s="2"/>
      <c r="J28" s="7">
        <f t="shared" si="1"/>
        <v>0</v>
      </c>
      <c r="K28" s="2"/>
      <c r="L28" s="6">
        <f t="shared" si="2"/>
        <v>-43.129999999999995</v>
      </c>
      <c r="M28" s="2"/>
      <c r="N28" s="7">
        <f t="shared" si="3"/>
        <v>-0.12322857142857141</v>
      </c>
      <c r="O28" s="11"/>
      <c r="P28" s="6">
        <v>487.13</v>
      </c>
      <c r="Q28" s="2"/>
      <c r="R28" s="7">
        <f t="shared" si="4"/>
        <v>0</v>
      </c>
      <c r="S28" s="2"/>
      <c r="T28" s="6">
        <v>700</v>
      </c>
      <c r="U28" s="2"/>
      <c r="V28" s="7">
        <f t="shared" si="5"/>
        <v>0</v>
      </c>
      <c r="W28" s="2"/>
      <c r="X28" s="6">
        <f t="shared" si="6"/>
        <v>-212.87</v>
      </c>
      <c r="Y28" s="2"/>
      <c r="Z28" s="7">
        <f t="shared" si="7"/>
        <v>-0.30409999999999998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15601.960000000001</v>
      </c>
      <c r="E29" s="1"/>
      <c r="F29" s="5">
        <f t="shared" ref="F29:F39" si="8">IF(D$12=0,0,D29/D$12)</f>
        <v>0</v>
      </c>
      <c r="G29" s="1"/>
      <c r="H29" s="1">
        <f>SUM(OSRRefH22_1x_0)</f>
        <v>15972.923076923082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-370.96307692308073</v>
      </c>
      <c r="M29" s="1"/>
      <c r="N29" s="5">
        <f t="shared" ref="N29:N39" si="11">IF(H29=0,0,L29/H29)</f>
        <v>-2.3224495299738249E-2</v>
      </c>
      <c r="O29" s="14"/>
      <c r="P29" s="1">
        <f>SUM(OSRRefP22_1x_0)</f>
        <v>37122.92</v>
      </c>
      <c r="Q29" s="1"/>
      <c r="R29" s="5">
        <f t="shared" ref="R29:R39" si="12">IF(P$12=0,0,P29/P$12)</f>
        <v>0</v>
      </c>
      <c r="S29" s="1"/>
      <c r="T29" s="1">
        <f>SUM(OSRRefT22_1x_0)</f>
        <v>35939.0769230769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1183.8430769230981</v>
      </c>
      <c r="Y29" s="1"/>
      <c r="Z29" s="5">
        <f t="shared" ref="Z29:Z39" si="15">IF(T29=0,0,X29/T29)</f>
        <v>3.2940274995291785E-2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8855.42</v>
      </c>
      <c r="E30" s="2"/>
      <c r="F30" s="7">
        <f t="shared" si="8"/>
        <v>0</v>
      </c>
      <c r="G30" s="2"/>
      <c r="H30" s="6">
        <v>10268.307692307701</v>
      </c>
      <c r="I30" s="2"/>
      <c r="J30" s="7">
        <f t="shared" si="9"/>
        <v>0</v>
      </c>
      <c r="K30" s="2"/>
      <c r="L30" s="6">
        <f t="shared" si="10"/>
        <v>-1412.8876923077005</v>
      </c>
      <c r="M30" s="2"/>
      <c r="N30" s="7">
        <f t="shared" si="11"/>
        <v>-0.13759693755243985</v>
      </c>
      <c r="O30" s="11"/>
      <c r="P30" s="6">
        <v>22691.7</v>
      </c>
      <c r="Q30" s="2"/>
      <c r="R30" s="7">
        <f t="shared" si="12"/>
        <v>0</v>
      </c>
      <c r="S30" s="2"/>
      <c r="T30" s="6">
        <v>23103.692307692301</v>
      </c>
      <c r="U30" s="2"/>
      <c r="V30" s="7">
        <f t="shared" si="13"/>
        <v>0</v>
      </c>
      <c r="W30" s="2"/>
      <c r="X30" s="6">
        <f t="shared" si="14"/>
        <v>-411.99230769230053</v>
      </c>
      <c r="Y30" s="2"/>
      <c r="Z30" s="7">
        <f t="shared" si="15"/>
        <v>-1.7832314515162106E-2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>
        <v>6147.68</v>
      </c>
      <c r="E31" s="2"/>
      <c r="F31" s="7">
        <f t="shared" si="8"/>
        <v>0</v>
      </c>
      <c r="G31" s="2"/>
      <c r="H31" s="6">
        <v>5704.6153846153802</v>
      </c>
      <c r="I31" s="2"/>
      <c r="J31" s="7">
        <f t="shared" si="9"/>
        <v>0</v>
      </c>
      <c r="K31" s="2"/>
      <c r="L31" s="6">
        <f t="shared" si="10"/>
        <v>443.06461538462008</v>
      </c>
      <c r="M31" s="2"/>
      <c r="N31" s="7">
        <f t="shared" si="11"/>
        <v>7.7667745415319109E-2</v>
      </c>
      <c r="O31" s="11"/>
      <c r="P31" s="6">
        <v>13832.36</v>
      </c>
      <c r="Q31" s="2"/>
      <c r="R31" s="7">
        <f t="shared" si="12"/>
        <v>0</v>
      </c>
      <c r="S31" s="2"/>
      <c r="T31" s="6">
        <v>12835.384615384601</v>
      </c>
      <c r="U31" s="2"/>
      <c r="V31" s="7">
        <f t="shared" si="13"/>
        <v>0</v>
      </c>
      <c r="W31" s="2"/>
      <c r="X31" s="6">
        <f t="shared" si="14"/>
        <v>996.97538461539989</v>
      </c>
      <c r="Y31" s="2"/>
      <c r="Z31" s="7">
        <f t="shared" si="15"/>
        <v>7.767397818530633E-2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230.86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230.86</v>
      </c>
      <c r="M34" s="2"/>
      <c r="N34" s="7">
        <f t="shared" si="11"/>
        <v>0</v>
      </c>
      <c r="O34" s="11"/>
      <c r="P34" s="6">
        <v>230.86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230.86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>
        <v>368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368</v>
      </c>
      <c r="M36" s="2"/>
      <c r="N36" s="7">
        <f t="shared" si="11"/>
        <v>0</v>
      </c>
      <c r="O36" s="11"/>
      <c r="P36" s="6">
        <v>368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368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9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SUM(OSRRefD22_2x_0)</f>
        <v>242.91</v>
      </c>
      <c r="E40" s="1"/>
      <c r="F40" s="5">
        <f t="shared" ref="F40:F44" si="16">IF(D$12=0,0,D40/D$12)</f>
        <v>0</v>
      </c>
      <c r="G40" s="1"/>
      <c r="H40" s="1">
        <f>SUM(OSRRefH22_2x_0)</f>
        <v>839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-596.09</v>
      </c>
      <c r="M40" s="1"/>
      <c r="N40" s="5">
        <f t="shared" ref="N40:N44" si="19">IF(H40=0,0,L40/H40)</f>
        <v>-0.71047675804529209</v>
      </c>
      <c r="O40" s="14"/>
      <c r="P40" s="1">
        <f>SUM(OSRRefP22_2x_0)</f>
        <v>485.82</v>
      </c>
      <c r="Q40" s="1"/>
      <c r="R40" s="5">
        <f t="shared" ref="R40:R44" si="20">IF(P$12=0,0,P40/P$12)</f>
        <v>0</v>
      </c>
      <c r="S40" s="1"/>
      <c r="T40" s="1">
        <f>SUM(OSRRefT22_2x_0)</f>
        <v>1678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-1192.18</v>
      </c>
      <c r="Y40" s="1"/>
      <c r="Z40" s="5">
        <f t="shared" ref="Z40:Z44" si="23">IF(T40=0,0,X40/T40)</f>
        <v>-0.71047675804529209</v>
      </c>
    </row>
    <row r="41" spans="1:26" s="24" customFormat="1" hidden="1" outlineLevel="2" x14ac:dyDescent="0.3">
      <c r="A41" s="27"/>
      <c r="B41" s="11" t="str">
        <f>CONCATENATE("          ", "6381", " - ", "BANK/CREDIT CARD FEES")</f>
        <v xml:space="preserve">          6381 - BANK/CREDIT CARD FEES</v>
      </c>
      <c r="C41" s="11"/>
      <c r="D41" s="6">
        <v>242.91</v>
      </c>
      <c r="E41" s="2"/>
      <c r="F41" s="7">
        <f t="shared" si="16"/>
        <v>0</v>
      </c>
      <c r="G41" s="2"/>
      <c r="H41" s="6">
        <v>839</v>
      </c>
      <c r="I41" s="2"/>
      <c r="J41" s="7">
        <f t="shared" si="17"/>
        <v>0</v>
      </c>
      <c r="K41" s="2"/>
      <c r="L41" s="6">
        <f t="shared" si="18"/>
        <v>-596.09</v>
      </c>
      <c r="M41" s="2"/>
      <c r="N41" s="7">
        <f t="shared" si="19"/>
        <v>-0.71047675804529209</v>
      </c>
      <c r="O41" s="11"/>
      <c r="P41" s="6">
        <v>485.82</v>
      </c>
      <c r="Q41" s="2"/>
      <c r="R41" s="7">
        <f t="shared" si="20"/>
        <v>0</v>
      </c>
      <c r="S41" s="2"/>
      <c r="T41" s="6">
        <v>1678</v>
      </c>
      <c r="U41" s="2"/>
      <c r="V41" s="7">
        <f t="shared" si="21"/>
        <v>0</v>
      </c>
      <c r="W41" s="2"/>
      <c r="X41" s="6">
        <f t="shared" si="22"/>
        <v>-1192.18</v>
      </c>
      <c r="Y41" s="2"/>
      <c r="Z41" s="7">
        <f t="shared" si="23"/>
        <v>-0.71047675804529209</v>
      </c>
    </row>
    <row r="42" spans="1:26" s="28" customFormat="1" outlineLevel="1" collapsed="1" x14ac:dyDescent="0.3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5331.53</v>
      </c>
      <c r="E42" s="1"/>
      <c r="F42" s="5">
        <f t="shared" si="16"/>
        <v>0</v>
      </c>
      <c r="G42" s="1"/>
      <c r="H42" s="1">
        <f>SUM(OSRRefH22_3x_0)</f>
        <v>5332</v>
      </c>
      <c r="I42" s="1"/>
      <c r="J42" s="5">
        <f t="shared" si="17"/>
        <v>0</v>
      </c>
      <c r="K42" s="1"/>
      <c r="L42" s="1">
        <f t="shared" si="18"/>
        <v>-0.47000000000025466</v>
      </c>
      <c r="M42" s="1"/>
      <c r="N42" s="5">
        <f t="shared" si="19"/>
        <v>-8.8147036759237562E-5</v>
      </c>
      <c r="O42" s="14"/>
      <c r="P42" s="1">
        <f>SUM(OSRRefP22_3x_0)</f>
        <v>10663.06</v>
      </c>
      <c r="Q42" s="1"/>
      <c r="R42" s="5">
        <f t="shared" si="20"/>
        <v>0</v>
      </c>
      <c r="S42" s="1"/>
      <c r="T42" s="1">
        <f>SUM(OSRRefT22_3x_0)</f>
        <v>10664</v>
      </c>
      <c r="U42" s="1"/>
      <c r="V42" s="5">
        <f t="shared" si="21"/>
        <v>0</v>
      </c>
      <c r="W42" s="1"/>
      <c r="X42" s="1">
        <f t="shared" si="22"/>
        <v>-0.94000000000050932</v>
      </c>
      <c r="Y42" s="1"/>
      <c r="Z42" s="5">
        <f t="shared" si="23"/>
        <v>-8.8147036759237562E-5</v>
      </c>
    </row>
    <row r="43" spans="1:26" s="24" customFormat="1" hidden="1" outlineLevel="2" x14ac:dyDescent="0.3">
      <c r="A43" s="27"/>
      <c r="B43" s="11" t="str">
        <f>CONCATENATE("          ", "6321", " - ", "BUILDING DEPRECIATION")</f>
        <v xml:space="preserve">          6321 - BUILDING DEPRECIATION</v>
      </c>
      <c r="C43" s="11"/>
      <c r="D43" s="6">
        <v>1822.68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1822.68</v>
      </c>
      <c r="M43" s="2"/>
      <c r="N43" s="7">
        <f t="shared" si="19"/>
        <v>0</v>
      </c>
      <c r="O43" s="11"/>
      <c r="P43" s="6">
        <v>3645.36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3645.36</v>
      </c>
      <c r="Y43" s="2"/>
      <c r="Z43" s="7">
        <f t="shared" si="23"/>
        <v>0</v>
      </c>
    </row>
    <row r="44" spans="1:26" s="24" customFormat="1" hidden="1" outlineLevel="2" x14ac:dyDescent="0.3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3508.85</v>
      </c>
      <c r="E44" s="2"/>
      <c r="F44" s="7">
        <f t="shared" si="16"/>
        <v>0</v>
      </c>
      <c r="G44" s="2"/>
      <c r="H44" s="6">
        <v>5332</v>
      </c>
      <c r="I44" s="2"/>
      <c r="J44" s="7">
        <f t="shared" si="17"/>
        <v>0</v>
      </c>
      <c r="K44" s="2"/>
      <c r="L44" s="6">
        <f t="shared" si="18"/>
        <v>-1823.15</v>
      </c>
      <c r="M44" s="2"/>
      <c r="N44" s="7">
        <f t="shared" si="19"/>
        <v>-0.34192610652663169</v>
      </c>
      <c r="O44" s="11"/>
      <c r="P44" s="6">
        <v>7017.7</v>
      </c>
      <c r="Q44" s="2"/>
      <c r="R44" s="7">
        <f t="shared" si="20"/>
        <v>0</v>
      </c>
      <c r="S44" s="2"/>
      <c r="T44" s="6">
        <v>10664</v>
      </c>
      <c r="U44" s="2"/>
      <c r="V44" s="7">
        <f t="shared" si="21"/>
        <v>0</v>
      </c>
      <c r="W44" s="2"/>
      <c r="X44" s="6">
        <f t="shared" si="22"/>
        <v>-3646.3</v>
      </c>
      <c r="Y44" s="2"/>
      <c r="Z44" s="7">
        <f t="shared" si="23"/>
        <v>-0.34192610652663169</v>
      </c>
    </row>
    <row r="45" spans="1:26" s="28" customFormat="1" outlineLevel="1" collapsed="1" x14ac:dyDescent="0.3">
      <c r="A45" s="29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18</v>
      </c>
      <c r="E45" s="1"/>
      <c r="F45" s="5">
        <f t="shared" ref="F45:F56" si="24">IF(D$12=0,0,D45/D$12)</f>
        <v>0</v>
      </c>
      <c r="G45" s="1"/>
      <c r="H45" s="1">
        <f>SUM(OSRRefH22_4x_0)</f>
        <v>0</v>
      </c>
      <c r="I45" s="1"/>
      <c r="J45" s="5">
        <f t="shared" ref="J45:J56" si="25">IF(H$12=0,0,H45/H$12)</f>
        <v>0</v>
      </c>
      <c r="K45" s="1"/>
      <c r="L45" s="1">
        <f t="shared" ref="L45:L56" si="26">+D45-H45</f>
        <v>18</v>
      </c>
      <c r="M45" s="1"/>
      <c r="N45" s="5">
        <f t="shared" ref="N45:N56" si="27">IF(H45=0,0,L45/H45)</f>
        <v>0</v>
      </c>
      <c r="O45" s="14"/>
      <c r="P45" s="1">
        <f>SUM(OSRRefP22_4x_0)</f>
        <v>18</v>
      </c>
      <c r="Q45" s="1"/>
      <c r="R45" s="5">
        <f t="shared" ref="R45:R56" si="28">IF(P$12=0,0,P45/P$12)</f>
        <v>0</v>
      </c>
      <c r="S45" s="1"/>
      <c r="T45" s="1">
        <f>SUM(OSRRefT22_4x_0)</f>
        <v>0</v>
      </c>
      <c r="U45" s="1"/>
      <c r="V45" s="5">
        <f t="shared" ref="V45:V56" si="29">IF(T$12=0,0,T45/T$12)</f>
        <v>0</v>
      </c>
      <c r="W45" s="1"/>
      <c r="X45" s="1">
        <f t="shared" ref="X45:X56" si="30">+P45-T45</f>
        <v>18</v>
      </c>
      <c r="Y45" s="1"/>
      <c r="Z45" s="5">
        <f t="shared" ref="Z45:Z56" si="31">IF(T45=0,0,X45/T45)</f>
        <v>0</v>
      </c>
    </row>
    <row r="46" spans="1:26" s="24" customFormat="1" hidden="1" outlineLevel="2" x14ac:dyDescent="0.3">
      <c r="A46" s="27"/>
      <c r="B46" s="11" t="str">
        <f>CONCATENATE("          ", "6277", " - ", "EMPLOYEE APPRECIATION")</f>
        <v xml:space="preserve">          6277 - EMPLOYEE APPRECIATION</v>
      </c>
      <c r="C46" s="11"/>
      <c r="D46" s="6">
        <v>18</v>
      </c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18</v>
      </c>
      <c r="M46" s="2"/>
      <c r="N46" s="7">
        <f t="shared" si="27"/>
        <v>0</v>
      </c>
      <c r="O46" s="11"/>
      <c r="P46" s="6">
        <v>18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18</v>
      </c>
      <c r="Y46" s="2"/>
      <c r="Z46" s="7">
        <f t="shared" si="31"/>
        <v>0</v>
      </c>
    </row>
    <row r="47" spans="1:26" s="28" customFormat="1" outlineLevel="1" collapsed="1" x14ac:dyDescent="0.3">
      <c r="A47" s="29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91.26</v>
      </c>
      <c r="E47" s="1"/>
      <c r="F47" s="5">
        <f t="shared" si="24"/>
        <v>0</v>
      </c>
      <c r="G47" s="1"/>
      <c r="H47" s="1">
        <f>SUM(OSRRefH22_5x_0)</f>
        <v>300</v>
      </c>
      <c r="I47" s="1"/>
      <c r="J47" s="5">
        <f t="shared" si="25"/>
        <v>0</v>
      </c>
      <c r="K47" s="1"/>
      <c r="L47" s="1">
        <f t="shared" si="26"/>
        <v>-208.74</v>
      </c>
      <c r="M47" s="1"/>
      <c r="N47" s="5">
        <f t="shared" si="27"/>
        <v>-0.69580000000000009</v>
      </c>
      <c r="O47" s="14"/>
      <c r="P47" s="1">
        <f>SUM(OSRRefP22_5x_0)</f>
        <v>182.52</v>
      </c>
      <c r="Q47" s="1"/>
      <c r="R47" s="5">
        <f t="shared" si="28"/>
        <v>0</v>
      </c>
      <c r="S47" s="1"/>
      <c r="T47" s="1">
        <f>SUM(OSRRefT22_5x_0)</f>
        <v>600</v>
      </c>
      <c r="U47" s="1"/>
      <c r="V47" s="5">
        <f t="shared" si="29"/>
        <v>0</v>
      </c>
      <c r="W47" s="1"/>
      <c r="X47" s="1">
        <f t="shared" si="30"/>
        <v>-417.48</v>
      </c>
      <c r="Y47" s="1"/>
      <c r="Z47" s="5">
        <f t="shared" si="31"/>
        <v>-0.69580000000000009</v>
      </c>
    </row>
    <row r="48" spans="1:26" s="24" customFormat="1" hidden="1" outlineLevel="2" x14ac:dyDescent="0.3">
      <c r="A48" s="27"/>
      <c r="B48" s="11" t="str">
        <f>CONCATENATE("          ", "6351", " - ", "EQUIPMENT RENTAL")</f>
        <v xml:space="preserve">          6351 - EQUIPMENT RENTAL</v>
      </c>
      <c r="C48" s="11"/>
      <c r="D48" s="6">
        <v>91.26</v>
      </c>
      <c r="E48" s="2"/>
      <c r="F48" s="7">
        <f t="shared" si="24"/>
        <v>0</v>
      </c>
      <c r="G48" s="2"/>
      <c r="H48" s="6">
        <v>300</v>
      </c>
      <c r="I48" s="2"/>
      <c r="J48" s="7">
        <f t="shared" si="25"/>
        <v>0</v>
      </c>
      <c r="K48" s="2"/>
      <c r="L48" s="6">
        <f t="shared" si="26"/>
        <v>-208.74</v>
      </c>
      <c r="M48" s="2"/>
      <c r="N48" s="7">
        <f t="shared" si="27"/>
        <v>-0.69580000000000009</v>
      </c>
      <c r="O48" s="11"/>
      <c r="P48" s="6">
        <v>182.52</v>
      </c>
      <c r="Q48" s="2"/>
      <c r="R48" s="7">
        <f t="shared" si="28"/>
        <v>0</v>
      </c>
      <c r="S48" s="2"/>
      <c r="T48" s="6">
        <v>600</v>
      </c>
      <c r="U48" s="2"/>
      <c r="V48" s="7">
        <f t="shared" si="29"/>
        <v>0</v>
      </c>
      <c r="W48" s="2"/>
      <c r="X48" s="6">
        <f t="shared" si="30"/>
        <v>-417.48</v>
      </c>
      <c r="Y48" s="2"/>
      <c r="Z48" s="7">
        <f t="shared" si="31"/>
        <v>-0.69580000000000009</v>
      </c>
    </row>
    <row r="49" spans="1:26" s="28" customFormat="1" outlineLevel="1" collapsed="1" x14ac:dyDescent="0.3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122.51</v>
      </c>
      <c r="Q49" s="1"/>
      <c r="R49" s="5">
        <f t="shared" si="28"/>
        <v>0</v>
      </c>
      <c r="S49" s="1"/>
      <c r="T49" s="1">
        <f>SUM(OSRRefT22_6x_0)</f>
        <v>500</v>
      </c>
      <c r="U49" s="1"/>
      <c r="V49" s="5">
        <f t="shared" si="29"/>
        <v>0</v>
      </c>
      <c r="W49" s="1"/>
      <c r="X49" s="1">
        <f t="shared" si="30"/>
        <v>-377.49</v>
      </c>
      <c r="Y49" s="1"/>
      <c r="Z49" s="5">
        <f t="shared" si="31"/>
        <v>-0.75497999999999998</v>
      </c>
    </row>
    <row r="50" spans="1:26" s="24" customFormat="1" hidden="1" outlineLevel="2" x14ac:dyDescent="0.3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122.51</v>
      </c>
      <c r="Q50" s="2"/>
      <c r="R50" s="7">
        <f t="shared" si="28"/>
        <v>0</v>
      </c>
      <c r="S50" s="2"/>
      <c r="T50" s="6">
        <v>500</v>
      </c>
      <c r="U50" s="2"/>
      <c r="V50" s="7">
        <f t="shared" si="29"/>
        <v>0</v>
      </c>
      <c r="W50" s="2"/>
      <c r="X50" s="6">
        <f t="shared" si="30"/>
        <v>-377.49</v>
      </c>
      <c r="Y50" s="2"/>
      <c r="Z50" s="7">
        <f t="shared" si="31"/>
        <v>-0.75497999999999998</v>
      </c>
    </row>
    <row r="51" spans="1:26" s="28" customFormat="1" outlineLevel="1" collapsed="1" x14ac:dyDescent="0.3">
      <c r="A51" s="29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4884.6000000000004</v>
      </c>
      <c r="E51" s="1"/>
      <c r="F51" s="5">
        <f t="shared" si="24"/>
        <v>0</v>
      </c>
      <c r="G51" s="1"/>
      <c r="H51" s="1">
        <f>SUM(OSRRefH22_7x_0)</f>
        <v>4820</v>
      </c>
      <c r="I51" s="1"/>
      <c r="J51" s="5">
        <f t="shared" si="25"/>
        <v>0</v>
      </c>
      <c r="K51" s="1"/>
      <c r="L51" s="1">
        <f t="shared" si="26"/>
        <v>64.600000000000364</v>
      </c>
      <c r="M51" s="1"/>
      <c r="N51" s="5">
        <f t="shared" si="27"/>
        <v>1.3402489626556092E-2</v>
      </c>
      <c r="O51" s="14"/>
      <c r="P51" s="1">
        <f>SUM(OSRRefP22_7x_0)</f>
        <v>9769.2000000000007</v>
      </c>
      <c r="Q51" s="1"/>
      <c r="R51" s="5">
        <f t="shared" si="28"/>
        <v>0</v>
      </c>
      <c r="S51" s="1"/>
      <c r="T51" s="1">
        <f>SUM(OSRRefT22_7x_0)</f>
        <v>9640</v>
      </c>
      <c r="U51" s="1"/>
      <c r="V51" s="5">
        <f t="shared" si="29"/>
        <v>0</v>
      </c>
      <c r="W51" s="1"/>
      <c r="X51" s="1">
        <f t="shared" si="30"/>
        <v>129.20000000000073</v>
      </c>
      <c r="Y51" s="1"/>
      <c r="Z51" s="5">
        <f t="shared" si="31"/>
        <v>1.3402489626556092E-2</v>
      </c>
    </row>
    <row r="52" spans="1:26" s="24" customFormat="1" hidden="1" outlineLevel="2" x14ac:dyDescent="0.3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4884.6000000000004</v>
      </c>
      <c r="E52" s="2"/>
      <c r="F52" s="7">
        <f t="shared" si="24"/>
        <v>0</v>
      </c>
      <c r="G52" s="2"/>
      <c r="H52" s="6">
        <v>4820</v>
      </c>
      <c r="I52" s="2"/>
      <c r="J52" s="7">
        <f t="shared" si="25"/>
        <v>0</v>
      </c>
      <c r="K52" s="2"/>
      <c r="L52" s="6">
        <f t="shared" si="26"/>
        <v>64.600000000000364</v>
      </c>
      <c r="M52" s="2"/>
      <c r="N52" s="7">
        <f t="shared" si="27"/>
        <v>1.3402489626556092E-2</v>
      </c>
      <c r="O52" s="11"/>
      <c r="P52" s="6">
        <v>9769.2000000000007</v>
      </c>
      <c r="Q52" s="2"/>
      <c r="R52" s="7">
        <f t="shared" si="28"/>
        <v>0</v>
      </c>
      <c r="S52" s="2"/>
      <c r="T52" s="6">
        <v>9640</v>
      </c>
      <c r="U52" s="2"/>
      <c r="V52" s="7">
        <f t="shared" si="29"/>
        <v>0</v>
      </c>
      <c r="W52" s="2"/>
      <c r="X52" s="6">
        <f t="shared" si="30"/>
        <v>129.20000000000073</v>
      </c>
      <c r="Y52" s="2"/>
      <c r="Z52" s="7">
        <f t="shared" si="31"/>
        <v>1.3402489626556092E-2</v>
      </c>
    </row>
    <row r="53" spans="1:26" s="28" customFormat="1" outlineLevel="1" collapsed="1" x14ac:dyDescent="0.3">
      <c r="A53" s="29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12058.39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12058.39</v>
      </c>
      <c r="M53" s="1"/>
      <c r="N53" s="5">
        <f t="shared" si="27"/>
        <v>0</v>
      </c>
      <c r="O53" s="14"/>
      <c r="P53" s="1">
        <f>SUM(OSRRefP22_8x_0)</f>
        <v>12935.85</v>
      </c>
      <c r="Q53" s="1"/>
      <c r="R53" s="5">
        <f t="shared" si="28"/>
        <v>0</v>
      </c>
      <c r="S53" s="1"/>
      <c r="T53" s="1">
        <f>SUM(OSRRefT22_8x_0)</f>
        <v>0</v>
      </c>
      <c r="U53" s="1"/>
      <c r="V53" s="5">
        <f t="shared" si="29"/>
        <v>0</v>
      </c>
      <c r="W53" s="1"/>
      <c r="X53" s="1">
        <f t="shared" si="30"/>
        <v>12935.85</v>
      </c>
      <c r="Y53" s="1"/>
      <c r="Z53" s="5">
        <f t="shared" si="31"/>
        <v>0</v>
      </c>
    </row>
    <row r="54" spans="1:26" s="24" customFormat="1" hidden="1" outlineLevel="2" x14ac:dyDescent="0.3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5177.72</v>
      </c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5177.72</v>
      </c>
      <c r="M54" s="2"/>
      <c r="N54" s="7">
        <f t="shared" si="27"/>
        <v>0</v>
      </c>
      <c r="O54" s="11"/>
      <c r="P54" s="6">
        <v>5177.72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5177.72</v>
      </c>
      <c r="Y54" s="2"/>
      <c r="Z54" s="7">
        <f t="shared" si="31"/>
        <v>0</v>
      </c>
    </row>
    <row r="55" spans="1:26" s="24" customFormat="1" hidden="1" outlineLevel="2" x14ac:dyDescent="0.3">
      <c r="A55" s="27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>
        <v>0.87</v>
      </c>
      <c r="Q55" s="2"/>
      <c r="R55" s="7">
        <f t="shared" si="28"/>
        <v>0</v>
      </c>
      <c r="S55" s="2"/>
      <c r="T55" s="6"/>
      <c r="U55" s="2"/>
      <c r="V55" s="7">
        <f t="shared" si="29"/>
        <v>0</v>
      </c>
      <c r="W55" s="2"/>
      <c r="X55" s="6">
        <f t="shared" si="30"/>
        <v>0.87</v>
      </c>
      <c r="Y55" s="2"/>
      <c r="Z55" s="7">
        <f t="shared" si="31"/>
        <v>0</v>
      </c>
    </row>
    <row r="56" spans="1:26" s="24" customFormat="1" hidden="1" outlineLevel="2" x14ac:dyDescent="0.3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6880.67</v>
      </c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6880.67</v>
      </c>
      <c r="M56" s="2"/>
      <c r="N56" s="7">
        <f t="shared" si="27"/>
        <v>0</v>
      </c>
      <c r="O56" s="11"/>
      <c r="P56" s="6">
        <v>7757.26</v>
      </c>
      <c r="Q56" s="2"/>
      <c r="R56" s="7">
        <f t="shared" si="28"/>
        <v>0</v>
      </c>
      <c r="S56" s="2"/>
      <c r="T56" s="6"/>
      <c r="U56" s="2"/>
      <c r="V56" s="7">
        <f t="shared" si="29"/>
        <v>0</v>
      </c>
      <c r="W56" s="2"/>
      <c r="X56" s="6">
        <f t="shared" si="30"/>
        <v>7757.26</v>
      </c>
      <c r="Y56" s="2"/>
      <c r="Z56" s="7">
        <f t="shared" si="31"/>
        <v>0</v>
      </c>
    </row>
    <row r="57" spans="1:26" s="28" customFormat="1" outlineLevel="1" collapsed="1" x14ac:dyDescent="0.3">
      <c r="A57" s="29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SUM(OSRRefD22_9x_0)</f>
        <v>4344.42</v>
      </c>
      <c r="E57" s="1"/>
      <c r="F57" s="5">
        <f t="shared" ref="F57:F60" si="32">IF(D$12=0,0,D57/D$12)</f>
        <v>0</v>
      </c>
      <c r="G57" s="1"/>
      <c r="H57" s="1">
        <f>SUM(OSRRefH22_9x_0)</f>
        <v>650</v>
      </c>
      <c r="I57" s="1"/>
      <c r="J57" s="5">
        <f t="shared" ref="J57:J60" si="33">IF(H$12=0,0,H57/H$12)</f>
        <v>0</v>
      </c>
      <c r="K57" s="1"/>
      <c r="L57" s="1">
        <f t="shared" ref="L57:L60" si="34">+D57-H57</f>
        <v>3694.42</v>
      </c>
      <c r="M57" s="1"/>
      <c r="N57" s="5">
        <f t="shared" ref="N57:N60" si="35">IF(H57=0,0,L57/H57)</f>
        <v>5.6837230769230773</v>
      </c>
      <c r="O57" s="14"/>
      <c r="P57" s="1">
        <f>SUM(OSRRefP22_9x_0)</f>
        <v>5014.5200000000004</v>
      </c>
      <c r="Q57" s="1"/>
      <c r="R57" s="5">
        <f t="shared" ref="R57:R60" si="36">IF(P$12=0,0,P57/P$12)</f>
        <v>0</v>
      </c>
      <c r="S57" s="1"/>
      <c r="T57" s="1">
        <f>SUM(OSRRefT22_9x_0)</f>
        <v>1300</v>
      </c>
      <c r="U57" s="1"/>
      <c r="V57" s="5">
        <f t="shared" ref="V57:V60" si="37">IF(T$12=0,0,T57/T$12)</f>
        <v>0</v>
      </c>
      <c r="W57" s="1"/>
      <c r="X57" s="1">
        <f t="shared" ref="X57:X60" si="38">+P57-T57</f>
        <v>3714.5200000000004</v>
      </c>
      <c r="Y57" s="1"/>
      <c r="Z57" s="5">
        <f t="shared" ref="Z57:Z60" si="39">IF(T57=0,0,X57/T57)</f>
        <v>2.8573230769230773</v>
      </c>
    </row>
    <row r="58" spans="1:26" s="24" customFormat="1" hidden="1" outlineLevel="2" x14ac:dyDescent="0.3">
      <c r="A58" s="27"/>
      <c r="B58" s="11" t="str">
        <f>CONCATENATE("          ", "6282", " - ", "JANITORIAL/EXTERMINATOR EXPENS")</f>
        <v xml:space="preserve">          6282 - JANITORIAL/EXTERMINATOR EXPENS</v>
      </c>
      <c r="C58" s="11"/>
      <c r="D58" s="6">
        <v>670.1</v>
      </c>
      <c r="E58" s="2"/>
      <c r="F58" s="7">
        <f t="shared" si="32"/>
        <v>0</v>
      </c>
      <c r="G58" s="2"/>
      <c r="H58" s="6">
        <v>650</v>
      </c>
      <c r="I58" s="2"/>
      <c r="J58" s="7">
        <f t="shared" si="33"/>
        <v>0</v>
      </c>
      <c r="K58" s="2"/>
      <c r="L58" s="6">
        <f t="shared" si="34"/>
        <v>20.100000000000023</v>
      </c>
      <c r="M58" s="2"/>
      <c r="N58" s="7">
        <f t="shared" si="35"/>
        <v>3.0923076923076959E-2</v>
      </c>
      <c r="O58" s="11"/>
      <c r="P58" s="6">
        <v>1340.2</v>
      </c>
      <c r="Q58" s="2"/>
      <c r="R58" s="7">
        <f t="shared" si="36"/>
        <v>0</v>
      </c>
      <c r="S58" s="2"/>
      <c r="T58" s="6">
        <v>1300</v>
      </c>
      <c r="U58" s="2"/>
      <c r="V58" s="7">
        <f t="shared" si="37"/>
        <v>0</v>
      </c>
      <c r="W58" s="2"/>
      <c r="X58" s="6">
        <f t="shared" si="38"/>
        <v>40.200000000000045</v>
      </c>
      <c r="Y58" s="2"/>
      <c r="Z58" s="7">
        <f t="shared" si="39"/>
        <v>3.0923076923076959E-2</v>
      </c>
    </row>
    <row r="59" spans="1:26" s="24" customFormat="1" hidden="1" outlineLevel="2" x14ac:dyDescent="0.3">
      <c r="A59" s="27"/>
      <c r="B59" s="11" t="str">
        <f>CONCATENATE("          ", "6284", " - ", "TRASH REMOVAL EXPENSE")</f>
        <v xml:space="preserve">          6284 - TRASH REMOVAL EXPENSE</v>
      </c>
      <c r="C59" s="11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1"/>
      <c r="P59" s="6"/>
      <c r="Q59" s="2"/>
      <c r="R59" s="7">
        <f t="shared" si="36"/>
        <v>0</v>
      </c>
      <c r="S59" s="2"/>
      <c r="T59" s="6">
        <v>0</v>
      </c>
      <c r="U59" s="2"/>
      <c r="V59" s="7">
        <f t="shared" si="37"/>
        <v>0</v>
      </c>
      <c r="W59" s="2"/>
      <c r="X59" s="6">
        <f t="shared" si="38"/>
        <v>0</v>
      </c>
      <c r="Y59" s="2"/>
      <c r="Z59" s="7">
        <f t="shared" si="39"/>
        <v>0</v>
      </c>
    </row>
    <row r="60" spans="1:26" s="24" customFormat="1" hidden="1" outlineLevel="2" x14ac:dyDescent="0.3">
      <c r="A60" s="27"/>
      <c r="B60" s="11" t="str">
        <f>CONCATENATE("          ", "6285", " - ", "JANITORIAL SERVICES")</f>
        <v xml:space="preserve">          6285 - JANITORIAL SERVICES</v>
      </c>
      <c r="C60" s="11"/>
      <c r="D60" s="6">
        <v>3674.32</v>
      </c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3674.32</v>
      </c>
      <c r="M60" s="2"/>
      <c r="N60" s="7">
        <f t="shared" si="35"/>
        <v>0</v>
      </c>
      <c r="O60" s="11"/>
      <c r="P60" s="6">
        <v>3674.32</v>
      </c>
      <c r="Q60" s="2"/>
      <c r="R60" s="7">
        <f t="shared" si="36"/>
        <v>0</v>
      </c>
      <c r="S60" s="2"/>
      <c r="T60" s="6"/>
      <c r="U60" s="2"/>
      <c r="V60" s="7">
        <f t="shared" si="37"/>
        <v>0</v>
      </c>
      <c r="W60" s="2"/>
      <c r="X60" s="6">
        <f t="shared" si="38"/>
        <v>3674.32</v>
      </c>
      <c r="Y60" s="2"/>
      <c r="Z60" s="7">
        <f t="shared" si="39"/>
        <v>0</v>
      </c>
    </row>
    <row r="61" spans="1:26" s="28" customFormat="1" outlineLevel="1" collapsed="1" x14ac:dyDescent="0.3">
      <c r="A61" s="29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SUM(OSRRefD22_10x_0)</f>
        <v>4.41</v>
      </c>
      <c r="E61" s="1"/>
      <c r="F61" s="5">
        <f t="shared" ref="F61:F68" si="40">IF(D$12=0,0,D61/D$12)</f>
        <v>0</v>
      </c>
      <c r="G61" s="1"/>
      <c r="H61" s="1">
        <f>SUM(OSRRefH22_10x_0)</f>
        <v>0</v>
      </c>
      <c r="I61" s="1"/>
      <c r="J61" s="5">
        <f t="shared" ref="J61:J68" si="41">IF(H$12=0,0,H61/H$12)</f>
        <v>0</v>
      </c>
      <c r="K61" s="1"/>
      <c r="L61" s="1">
        <f t="shared" ref="L61:L68" si="42">+D61-H61</f>
        <v>4.41</v>
      </c>
      <c r="M61" s="1"/>
      <c r="N61" s="5">
        <f t="shared" ref="N61:N68" si="43">IF(H61=0,0,L61/H61)</f>
        <v>0</v>
      </c>
      <c r="O61" s="14"/>
      <c r="P61" s="1">
        <f>SUM(OSRRefP22_10x_0)</f>
        <v>160.16</v>
      </c>
      <c r="Q61" s="1"/>
      <c r="R61" s="5">
        <f t="shared" ref="R61:R68" si="44">IF(P$12=0,0,P61/P$12)</f>
        <v>0</v>
      </c>
      <c r="S61" s="1"/>
      <c r="T61" s="1">
        <f>SUM(OSRRefT22_10x_0)</f>
        <v>0</v>
      </c>
      <c r="U61" s="1"/>
      <c r="V61" s="5">
        <f t="shared" ref="V61:V68" si="45">IF(T$12=0,0,T61/T$12)</f>
        <v>0</v>
      </c>
      <c r="W61" s="1"/>
      <c r="X61" s="1">
        <f t="shared" ref="X61:X68" si="46">+P61-T61</f>
        <v>160.16</v>
      </c>
      <c r="Y61" s="1"/>
      <c r="Z61" s="5">
        <f t="shared" ref="Z61:Z68" si="47">IF(T61=0,0,X61/T61)</f>
        <v>0</v>
      </c>
    </row>
    <row r="62" spans="1:26" s="24" customFormat="1" hidden="1" outlineLevel="2" x14ac:dyDescent="0.3">
      <c r="A62" s="27"/>
      <c r="B62" s="11" t="str">
        <f>CONCATENATE("          ", "6241", " - ", "OFFICE EXPENSE")</f>
        <v xml:space="preserve">          6241 - OFFICE EXPENSE</v>
      </c>
      <c r="C62" s="11"/>
      <c r="D62" s="6">
        <v>4.41</v>
      </c>
      <c r="E62" s="2"/>
      <c r="F62" s="7">
        <f t="shared" si="40"/>
        <v>0</v>
      </c>
      <c r="G62" s="2"/>
      <c r="H62" s="6"/>
      <c r="I62" s="2"/>
      <c r="J62" s="7">
        <f t="shared" si="41"/>
        <v>0</v>
      </c>
      <c r="K62" s="2"/>
      <c r="L62" s="6">
        <f t="shared" si="42"/>
        <v>4.41</v>
      </c>
      <c r="M62" s="2"/>
      <c r="N62" s="7">
        <f t="shared" si="43"/>
        <v>0</v>
      </c>
      <c r="O62" s="11"/>
      <c r="P62" s="6">
        <v>160.16</v>
      </c>
      <c r="Q62" s="2"/>
      <c r="R62" s="7">
        <f t="shared" si="44"/>
        <v>0</v>
      </c>
      <c r="S62" s="2"/>
      <c r="T62" s="6"/>
      <c r="U62" s="2"/>
      <c r="V62" s="7">
        <f t="shared" si="45"/>
        <v>0</v>
      </c>
      <c r="W62" s="2"/>
      <c r="X62" s="6">
        <f t="shared" si="46"/>
        <v>160.16</v>
      </c>
      <c r="Y62" s="2"/>
      <c r="Z62" s="7">
        <f t="shared" si="47"/>
        <v>0</v>
      </c>
    </row>
    <row r="63" spans="1:26" s="28" customFormat="1" outlineLevel="1" collapsed="1" x14ac:dyDescent="0.3">
      <c r="A63" s="29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SUM(OSRRefD22_11x_0)</f>
        <v>235.45</v>
      </c>
      <c r="E63" s="1"/>
      <c r="F63" s="5">
        <f t="shared" si="40"/>
        <v>0</v>
      </c>
      <c r="G63" s="1"/>
      <c r="H63" s="1">
        <f>SUM(OSRRefH22_11x_0)</f>
        <v>0</v>
      </c>
      <c r="I63" s="1"/>
      <c r="J63" s="5">
        <f t="shared" si="41"/>
        <v>0</v>
      </c>
      <c r="K63" s="1"/>
      <c r="L63" s="1">
        <f t="shared" si="42"/>
        <v>235.45</v>
      </c>
      <c r="M63" s="1"/>
      <c r="N63" s="5">
        <f t="shared" si="43"/>
        <v>0</v>
      </c>
      <c r="O63" s="14"/>
      <c r="P63" s="1">
        <f>SUM(OSRRefP22_11x_0)</f>
        <v>355</v>
      </c>
      <c r="Q63" s="1"/>
      <c r="R63" s="5">
        <f t="shared" si="44"/>
        <v>0</v>
      </c>
      <c r="S63" s="1"/>
      <c r="T63" s="1">
        <f>SUM(OSRRefT22_11x_0)</f>
        <v>0</v>
      </c>
      <c r="U63" s="1"/>
      <c r="V63" s="5">
        <f t="shared" si="45"/>
        <v>0</v>
      </c>
      <c r="W63" s="1"/>
      <c r="X63" s="1">
        <f t="shared" si="46"/>
        <v>355</v>
      </c>
      <c r="Y63" s="1"/>
      <c r="Z63" s="5">
        <f t="shared" si="47"/>
        <v>0</v>
      </c>
    </row>
    <row r="64" spans="1:26" s="24" customFormat="1" hidden="1" outlineLevel="2" x14ac:dyDescent="0.3">
      <c r="A64" s="27"/>
      <c r="B64" s="11" t="str">
        <f>CONCATENATE("          ", "6309", " - ", "TELEPHONE")</f>
        <v xml:space="preserve">          6309 - TELEPHONE</v>
      </c>
      <c r="C64" s="11"/>
      <c r="D64" s="6">
        <v>235.45</v>
      </c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235.45</v>
      </c>
      <c r="M64" s="2"/>
      <c r="N64" s="7">
        <f t="shared" si="43"/>
        <v>0</v>
      </c>
      <c r="O64" s="11"/>
      <c r="P64" s="6">
        <v>355</v>
      </c>
      <c r="Q64" s="2"/>
      <c r="R64" s="7">
        <f t="shared" si="44"/>
        <v>0</v>
      </c>
      <c r="S64" s="2"/>
      <c r="T64" s="6"/>
      <c r="U64" s="2"/>
      <c r="V64" s="7">
        <f t="shared" si="45"/>
        <v>0</v>
      </c>
      <c r="W64" s="2"/>
      <c r="X64" s="6">
        <f t="shared" si="46"/>
        <v>355</v>
      </c>
      <c r="Y64" s="2"/>
      <c r="Z64" s="7">
        <f t="shared" si="47"/>
        <v>0</v>
      </c>
    </row>
    <row r="65" spans="1:26" s="28" customFormat="1" outlineLevel="1" collapsed="1" x14ac:dyDescent="0.3">
      <c r="A65" s="29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SUM(OSRRefD22_12x_0)</f>
        <v>0</v>
      </c>
      <c r="E65" s="1"/>
      <c r="F65" s="5">
        <f t="shared" si="40"/>
        <v>0</v>
      </c>
      <c r="G65" s="1"/>
      <c r="H65" s="1">
        <f>SUM(OSRRefH22_12x_0)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4"/>
      <c r="P65" s="1">
        <f>SUM(OSRRefP22_12x_0)</f>
        <v>0</v>
      </c>
      <c r="Q65" s="1"/>
      <c r="R65" s="5">
        <f t="shared" si="44"/>
        <v>0</v>
      </c>
      <c r="S65" s="1"/>
      <c r="T65" s="1">
        <f>SUM(OSRRefT22_12x_0)</f>
        <v>0</v>
      </c>
      <c r="U65" s="1"/>
      <c r="V65" s="5">
        <f t="shared" si="45"/>
        <v>0</v>
      </c>
      <c r="W65" s="1"/>
      <c r="X65" s="1">
        <f t="shared" si="46"/>
        <v>0</v>
      </c>
      <c r="Y65" s="1"/>
      <c r="Z65" s="5">
        <f t="shared" si="47"/>
        <v>0</v>
      </c>
    </row>
    <row r="66" spans="1:26" s="24" customFormat="1" hidden="1" outlineLevel="2" x14ac:dyDescent="0.3">
      <c r="A66" s="27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/>
      <c r="Q66" s="2"/>
      <c r="R66" s="7">
        <f t="shared" si="44"/>
        <v>0</v>
      </c>
      <c r="S66" s="2"/>
      <c r="T66" s="6">
        <v>0</v>
      </c>
      <c r="U66" s="2"/>
      <c r="V66" s="7">
        <f t="shared" si="45"/>
        <v>0</v>
      </c>
      <c r="W66" s="2"/>
      <c r="X66" s="6">
        <f t="shared" si="46"/>
        <v>0</v>
      </c>
      <c r="Y66" s="2"/>
      <c r="Z66" s="7">
        <f t="shared" si="47"/>
        <v>0</v>
      </c>
    </row>
    <row r="67" spans="1:26" s="28" customFormat="1" outlineLevel="1" collapsed="1" x14ac:dyDescent="0.3">
      <c r="A67" s="29"/>
      <c r="B67" s="14" t="str">
        <f>CONCATENATE("     ","Utilities                                         ")</f>
        <v xml:space="preserve">     Utilities                                         </v>
      </c>
      <c r="C67" s="14"/>
      <c r="D67" s="1">
        <f>SUM(OSRRefD22_13x_0)</f>
        <v>5550</v>
      </c>
      <c r="E67" s="1"/>
      <c r="F67" s="5">
        <f t="shared" si="40"/>
        <v>0</v>
      </c>
      <c r="G67" s="1"/>
      <c r="H67" s="1">
        <f>SUM(OSRRefH22_13x_0)</f>
        <v>5550</v>
      </c>
      <c r="I67" s="1"/>
      <c r="J67" s="5">
        <f t="shared" si="41"/>
        <v>0</v>
      </c>
      <c r="K67" s="1"/>
      <c r="L67" s="1">
        <f t="shared" si="42"/>
        <v>0</v>
      </c>
      <c r="M67" s="1"/>
      <c r="N67" s="5">
        <f t="shared" si="43"/>
        <v>0</v>
      </c>
      <c r="O67" s="14"/>
      <c r="P67" s="1">
        <f>SUM(OSRRefP22_13x_0)</f>
        <v>11100</v>
      </c>
      <c r="Q67" s="1"/>
      <c r="R67" s="5">
        <f t="shared" si="44"/>
        <v>0</v>
      </c>
      <c r="S67" s="1"/>
      <c r="T67" s="1">
        <f>SUM(OSRRefT22_13x_0)</f>
        <v>11100</v>
      </c>
      <c r="U67" s="1"/>
      <c r="V67" s="5">
        <f t="shared" si="45"/>
        <v>0</v>
      </c>
      <c r="W67" s="1"/>
      <c r="X67" s="1">
        <f t="shared" si="46"/>
        <v>0</v>
      </c>
      <c r="Y67" s="1"/>
      <c r="Z67" s="5">
        <f t="shared" si="47"/>
        <v>0</v>
      </c>
    </row>
    <row r="68" spans="1:26" s="24" customFormat="1" hidden="1" outlineLevel="2" x14ac:dyDescent="0.3">
      <c r="A68" s="27"/>
      <c r="B68" s="11" t="str">
        <f>CONCATENATE("          ", "6274", " - ", "UTILITIES")</f>
        <v xml:space="preserve">          6274 - UTILITIES</v>
      </c>
      <c r="C68" s="11"/>
      <c r="D68" s="6">
        <v>5550</v>
      </c>
      <c r="E68" s="2"/>
      <c r="F68" s="7">
        <f t="shared" si="40"/>
        <v>0</v>
      </c>
      <c r="G68" s="2"/>
      <c r="H68" s="6">
        <v>5550</v>
      </c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>
        <v>11100</v>
      </c>
      <c r="Q68" s="2"/>
      <c r="R68" s="7">
        <f t="shared" si="44"/>
        <v>0</v>
      </c>
      <c r="S68" s="2"/>
      <c r="T68" s="6">
        <v>11100</v>
      </c>
      <c r="U68" s="2"/>
      <c r="V68" s="7">
        <f t="shared" si="45"/>
        <v>0</v>
      </c>
      <c r="W68" s="2"/>
      <c r="X68" s="6">
        <f t="shared" si="46"/>
        <v>0</v>
      </c>
      <c r="Y68" s="2"/>
      <c r="Z68" s="7">
        <f t="shared" si="47"/>
        <v>0</v>
      </c>
    </row>
    <row r="69" spans="1:26" s="53" customFormat="1" x14ac:dyDescent="0.3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3">
      <c r="A70" s="10"/>
      <c r="B70" s="25" t="s">
        <v>293</v>
      </c>
      <c r="C70" s="10"/>
      <c r="D70" s="4">
        <f>SUM(OSRRefD25x_0)</f>
        <v>1041.32</v>
      </c>
      <c r="E70" s="4"/>
      <c r="F70" s="12">
        <f t="shared" ref="F70:F71" si="48">IF(D$12=0,0,D70/D$12)</f>
        <v>0</v>
      </c>
      <c r="G70" s="4"/>
      <c r="H70" s="4">
        <f>SUM(OSRRefH25x_0)</f>
        <v>0</v>
      </c>
      <c r="I70" s="4"/>
      <c r="J70" s="12">
        <f t="shared" ref="J70:J71" si="49">IF(H$12=0,0,H70/H$12)</f>
        <v>0</v>
      </c>
      <c r="K70" s="4"/>
      <c r="L70" s="4">
        <f t="shared" ref="L70:L71" si="50">+D70-H70</f>
        <v>1041.32</v>
      </c>
      <c r="M70" s="4"/>
      <c r="N70" s="12">
        <f t="shared" ref="N70:N71" si="51">IF(H70=0,0,L70/H70)</f>
        <v>0</v>
      </c>
      <c r="O70" s="10"/>
      <c r="P70" s="4">
        <f>SUM(OSRRefP25x_0)</f>
        <v>2456.29</v>
      </c>
      <c r="Q70" s="4"/>
      <c r="R70" s="12">
        <f t="shared" ref="R70:R71" si="52">IF(P$12=0,0,P70/P$12)</f>
        <v>0</v>
      </c>
      <c r="S70" s="4"/>
      <c r="T70" s="4">
        <f>SUM(OSRRefT25x_0)</f>
        <v>0</v>
      </c>
      <c r="U70" s="4"/>
      <c r="V70" s="12">
        <f t="shared" ref="V70:V71" si="53">IF(T$12=0,0,T70/T$12)</f>
        <v>0</v>
      </c>
      <c r="W70" s="4"/>
      <c r="X70" s="4">
        <f t="shared" ref="X70:X71" si="54">+P70-T70</f>
        <v>2456.29</v>
      </c>
      <c r="Y70" s="4"/>
      <c r="Z70" s="12">
        <f t="shared" ref="Z70:Z71" si="55">IF(T70=0,0,X70/T70)</f>
        <v>0</v>
      </c>
    </row>
    <row r="71" spans="1:26" s="24" customFormat="1" hidden="1" outlineLevel="1" x14ac:dyDescent="0.3">
      <c r="A71" s="44"/>
      <c r="B71" s="11" t="str">
        <f>CONCATENATE("          ", "9150", " - ", "MISC. INCOME")</f>
        <v xml:space="preserve">          9150 - MISC. INCOME</v>
      </c>
      <c r="C71" s="11"/>
      <c r="D71" s="2">
        <f>--1041.32</f>
        <v>1041.32</v>
      </c>
      <c r="E71" s="2"/>
      <c r="F71" s="19">
        <f t="shared" si="48"/>
        <v>0</v>
      </c>
      <c r="G71" s="2"/>
      <c r="H71" s="2"/>
      <c r="I71" s="2"/>
      <c r="J71" s="19">
        <f t="shared" si="49"/>
        <v>0</v>
      </c>
      <c r="K71" s="2"/>
      <c r="L71" s="2">
        <f t="shared" si="50"/>
        <v>1041.32</v>
      </c>
      <c r="M71" s="2"/>
      <c r="N71" s="19">
        <f t="shared" si="51"/>
        <v>0</v>
      </c>
      <c r="O71" s="11"/>
      <c r="P71" s="2">
        <f>--2456.29</f>
        <v>2456.29</v>
      </c>
      <c r="Q71" s="2"/>
      <c r="R71" s="19">
        <f t="shared" si="52"/>
        <v>0</v>
      </c>
      <c r="S71" s="2"/>
      <c r="T71" s="2"/>
      <c r="U71" s="2"/>
      <c r="V71" s="19">
        <f t="shared" si="53"/>
        <v>0</v>
      </c>
      <c r="W71" s="2"/>
      <c r="X71" s="2">
        <f t="shared" si="54"/>
        <v>2456.29</v>
      </c>
      <c r="Y71" s="2"/>
      <c r="Z71" s="19">
        <f t="shared" si="55"/>
        <v>0</v>
      </c>
    </row>
    <row r="72" spans="1:26" x14ac:dyDescent="0.3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">
      <c r="A73" s="10"/>
      <c r="B73" s="26" t="s">
        <v>277</v>
      </c>
      <c r="C73" s="26"/>
      <c r="D73" s="21">
        <f>+D16-D18+D70</f>
        <v>-56464.99</v>
      </c>
      <c r="E73" s="13"/>
      <c r="F73" s="20">
        <f>IF(D$12=0,0,D73/D$12)</f>
        <v>0</v>
      </c>
      <c r="G73" s="13"/>
      <c r="H73" s="21">
        <f>+H16-H18+H70</f>
        <v>-41947.132430769241</v>
      </c>
      <c r="I73" s="13"/>
      <c r="J73" s="20">
        <f>IF(H$12=0,0,H73/H$12)</f>
        <v>0</v>
      </c>
      <c r="K73" s="16"/>
      <c r="L73" s="21">
        <f>+D73-H73</f>
        <v>-14517.857569230757</v>
      </c>
      <c r="M73" s="16"/>
      <c r="N73" s="20">
        <f>IF(H73=0,0,L73/H73)</f>
        <v>0.34609892805405584</v>
      </c>
      <c r="O73" s="25"/>
      <c r="P73" s="21">
        <f>+P16-P18+P70</f>
        <v>-103601.96</v>
      </c>
      <c r="Q73" s="13"/>
      <c r="R73" s="20">
        <f>IF(P$12=0,0,P73/P$12)</f>
        <v>0</v>
      </c>
      <c r="S73" s="13"/>
      <c r="T73" s="21">
        <f>+T16-T18+T70</f>
        <v>-89729.797969230756</v>
      </c>
      <c r="U73" s="13"/>
      <c r="V73" s="20">
        <f>IF(T$12=0,0,T73/T$12)</f>
        <v>0</v>
      </c>
      <c r="W73" s="16"/>
      <c r="X73" s="21">
        <f>+P73-T73</f>
        <v>-13872.16203076925</v>
      </c>
      <c r="Y73" s="16"/>
      <c r="Z73" s="20">
        <f>IF(T73=0,0,X73/T73)</f>
        <v>0.15459927855321989</v>
      </c>
    </row>
    <row r="74" spans="1:26" x14ac:dyDescent="0.3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52"/>
      <c r="B75" s="10" t="s">
        <v>128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3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35">
      <c r="A77" s="10"/>
      <c r="B77" s="26" t="s">
        <v>126</v>
      </c>
      <c r="C77" s="26"/>
      <c r="D77" s="30">
        <f>+D73-D75</f>
        <v>-56464.99</v>
      </c>
      <c r="E77" s="13"/>
      <c r="F77" s="35">
        <f>IF(D$12=0,0,D77/D$12)</f>
        <v>0</v>
      </c>
      <c r="G77" s="13"/>
      <c r="H77" s="30">
        <f>+H73-H75</f>
        <v>-41947.132430769241</v>
      </c>
      <c r="I77" s="13"/>
      <c r="J77" s="35">
        <f>IF(H$12=0,0,H77/H$12)</f>
        <v>0</v>
      </c>
      <c r="K77" s="16"/>
      <c r="L77" s="30">
        <f>D77-H77</f>
        <v>-14517.857569230757</v>
      </c>
      <c r="M77" s="16"/>
      <c r="N77" s="35">
        <f>IF(H77=0,0,L77/H77)</f>
        <v>0.34609892805405584</v>
      </c>
      <c r="O77" s="25"/>
      <c r="P77" s="30">
        <f>+P73-P75</f>
        <v>-103601.96</v>
      </c>
      <c r="Q77" s="13"/>
      <c r="R77" s="35">
        <f>IF(P$12=0,0,P77/P$12)</f>
        <v>0</v>
      </c>
      <c r="S77" s="13"/>
      <c r="T77" s="30">
        <f>+T73-T75</f>
        <v>-89729.797969230756</v>
      </c>
      <c r="U77" s="13"/>
      <c r="V77" s="35">
        <f>IF(T$12=0,0,T77/T$12)</f>
        <v>0</v>
      </c>
      <c r="W77" s="16"/>
      <c r="X77" s="30">
        <f>P77-T77</f>
        <v>-13872.16203076925</v>
      </c>
      <c r="Y77" s="16"/>
      <c r="Z77" s="35">
        <f>IF(T77=0,0,X77/T77)</f>
        <v>0.15459927855321989</v>
      </c>
    </row>
    <row r="78" spans="1:26" ht="15" thickTop="1" x14ac:dyDescent="0.3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3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35">
      <c r="A80" s="10"/>
      <c r="B80" s="26" t="s">
        <v>294</v>
      </c>
      <c r="C80" s="26"/>
      <c r="D80" s="32">
        <f>SUM(D77:D79)</f>
        <v>-56464.99</v>
      </c>
      <c r="E80" s="13"/>
      <c r="F80" s="34">
        <f>IF(D$12=0,0,D80/D$12)</f>
        <v>0</v>
      </c>
      <c r="G80" s="13"/>
      <c r="H80" s="32">
        <f>SUM(H77:H79)</f>
        <v>-41947.132430769241</v>
      </c>
      <c r="I80" s="13"/>
      <c r="J80" s="34">
        <f>IF(H$12=0,0,H80/H$12)</f>
        <v>0</v>
      </c>
      <c r="K80" s="16"/>
      <c r="L80" s="32">
        <f>+D80-H80</f>
        <v>-14517.857569230757</v>
      </c>
      <c r="M80" s="16"/>
      <c r="N80" s="34">
        <f>IF(H80=0,0,L80/H80)</f>
        <v>0.34609892805405584</v>
      </c>
      <c r="O80" s="25"/>
      <c r="P80" s="32">
        <f>SUM(P77:P79)</f>
        <v>-103601.96</v>
      </c>
      <c r="Q80" s="13"/>
      <c r="R80" s="34">
        <f>IF(P$12=0,0,P80/P$12)</f>
        <v>0</v>
      </c>
      <c r="S80" s="13"/>
      <c r="T80" s="32">
        <f>SUM(T77:T79)</f>
        <v>-89729.797969230756</v>
      </c>
      <c r="U80" s="13"/>
      <c r="V80" s="34">
        <f>IF(T$12=0,0,T80/T$12)</f>
        <v>0</v>
      </c>
      <c r="W80" s="16"/>
      <c r="X80" s="32">
        <f>+P80-T80</f>
        <v>-13872.16203076925</v>
      </c>
      <c r="Y80" s="16"/>
      <c r="Z80" s="34">
        <f>IF(T80=0,0,X80/T80)</f>
        <v>0.15459927855321989</v>
      </c>
    </row>
    <row r="81" spans="1:24" ht="15" thickTop="1" x14ac:dyDescent="0.3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">
      <c r="A82" s="9"/>
      <c r="B82" s="61">
        <v>44470.835499687499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">
      <c r="A83" s="9"/>
      <c r="B83" s="58" t="s">
        <v>56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3">
      <c r="A84" s="9"/>
      <c r="B84" s="55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3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","412", " - ", "Chartroom")</f>
        <v>Department 412 - Chartroom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613.36</v>
      </c>
      <c r="E18" s="22"/>
      <c r="F18" s="31">
        <f t="shared" ref="F18:F24" si="0">IF(D$12=0,0,D18/D$12)</f>
        <v>0</v>
      </c>
      <c r="G18" s="22"/>
      <c r="H18" s="22">
        <f>SUM(OSRRefH22x_0)</f>
        <v>577</v>
      </c>
      <c r="I18" s="22"/>
      <c r="J18" s="31">
        <f t="shared" ref="J18:J24" si="1">IF(H$12=0,0,H18/H$12)</f>
        <v>0</v>
      </c>
      <c r="K18" s="4"/>
      <c r="L18" s="22">
        <f t="shared" ref="L18:L24" si="2">+D18-H18</f>
        <v>36.360000000000014</v>
      </c>
      <c r="M18" s="4"/>
      <c r="N18" s="31">
        <f t="shared" ref="N18:N24" si="3">IF(H18=0,0,L18/H18)</f>
        <v>6.3015597920277319E-2</v>
      </c>
      <c r="O18" s="10"/>
      <c r="P18" s="22">
        <f>SUM(OSRRefP22x_0)</f>
        <v>1226.72</v>
      </c>
      <c r="Q18" s="22"/>
      <c r="R18" s="31">
        <f t="shared" ref="R18:R24" si="4">IF(P$12=0,0,P18/P$12)</f>
        <v>0</v>
      </c>
      <c r="S18" s="22"/>
      <c r="T18" s="22">
        <f>SUM(OSRRefT22x_0)</f>
        <v>1154</v>
      </c>
      <c r="U18" s="22"/>
      <c r="V18" s="31">
        <f t="shared" ref="V18:V24" si="5">IF(T$12=0,0,T18/T$12)</f>
        <v>0</v>
      </c>
      <c r="W18" s="4"/>
      <c r="X18" s="22">
        <f t="shared" ref="X18:X24" si="6">+P18-T18</f>
        <v>72.720000000000027</v>
      </c>
      <c r="Y18" s="4"/>
      <c r="Z18" s="31">
        <f t="shared" ref="Z18:Z24" si="7">IF(T18=0,0,X18/T18)</f>
        <v>6.3015597920277319E-2</v>
      </c>
    </row>
    <row r="19" spans="1:26" s="28" customFormat="1" outlineLevel="1" collapsed="1" x14ac:dyDescent="0.3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577</v>
      </c>
      <c r="I19" s="1"/>
      <c r="J19" s="5">
        <f t="shared" si="1"/>
        <v>0</v>
      </c>
      <c r="K19" s="1"/>
      <c r="L19" s="1">
        <f t="shared" si="2"/>
        <v>0.36000000000001364</v>
      </c>
      <c r="M19" s="1"/>
      <c r="N19" s="5">
        <f t="shared" si="3"/>
        <v>6.2391681109187809E-4</v>
      </c>
      <c r="O19" s="14"/>
      <c r="P19" s="1">
        <f>SUM(OSRRefP22_0x_0)</f>
        <v>1154.72</v>
      </c>
      <c r="Q19" s="1"/>
      <c r="R19" s="5">
        <f t="shared" si="4"/>
        <v>0</v>
      </c>
      <c r="S19" s="1"/>
      <c r="T19" s="1">
        <f>SUM(OSRRefT22_0x_0)</f>
        <v>1154</v>
      </c>
      <c r="U19" s="1"/>
      <c r="V19" s="5">
        <f t="shared" si="5"/>
        <v>0</v>
      </c>
      <c r="W19" s="1"/>
      <c r="X19" s="1">
        <f t="shared" si="6"/>
        <v>0.72000000000002728</v>
      </c>
      <c r="Y19" s="1"/>
      <c r="Z19" s="5">
        <f t="shared" si="7"/>
        <v>6.2391681109187809E-4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577.36</v>
      </c>
      <c r="E20" s="2"/>
      <c r="F20" s="7">
        <f t="shared" si="0"/>
        <v>0</v>
      </c>
      <c r="G20" s="2"/>
      <c r="H20" s="6">
        <v>577</v>
      </c>
      <c r="I20" s="2"/>
      <c r="J20" s="7">
        <f t="shared" si="1"/>
        <v>0</v>
      </c>
      <c r="K20" s="2"/>
      <c r="L20" s="6">
        <f t="shared" si="2"/>
        <v>0.36000000000001364</v>
      </c>
      <c r="M20" s="2"/>
      <c r="N20" s="7">
        <f t="shared" si="3"/>
        <v>6.2391681109187809E-4</v>
      </c>
      <c r="O20" s="11"/>
      <c r="P20" s="6">
        <v>1154.72</v>
      </c>
      <c r="Q20" s="2"/>
      <c r="R20" s="7">
        <f t="shared" si="4"/>
        <v>0</v>
      </c>
      <c r="S20" s="2"/>
      <c r="T20" s="6">
        <v>1154</v>
      </c>
      <c r="U20" s="2"/>
      <c r="V20" s="7">
        <f t="shared" si="5"/>
        <v>0</v>
      </c>
      <c r="W20" s="2"/>
      <c r="X20" s="6">
        <f t="shared" si="6"/>
        <v>0.72000000000002728</v>
      </c>
      <c r="Y20" s="2"/>
      <c r="Z20" s="7">
        <f t="shared" si="7"/>
        <v>6.2391681109187809E-4</v>
      </c>
    </row>
    <row r="21" spans="1:26" s="28" customFormat="1" outlineLevel="1" collapsed="1" x14ac:dyDescent="0.3">
      <c r="A21" s="29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"6284", " - ", "TRASH REMOVAL EXPENSE")</f>
        <v xml:space="preserve">          6284 - TRASH REMOVAL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28" customFormat="1" outlineLevel="1" collapsed="1" x14ac:dyDescent="0.3">
      <c r="A23" s="29"/>
      <c r="B23" s="14" t="str">
        <f>CONCATENATE("     ","Telephone/Data Lines                              ")</f>
        <v xml:space="preserve">     Telephone/Data Lines                              </v>
      </c>
      <c r="C23" s="14"/>
      <c r="D23" s="1">
        <f>SUM(OSRRefD22_2x_0)</f>
        <v>36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36</v>
      </c>
      <c r="M23" s="1"/>
      <c r="N23" s="5">
        <f t="shared" si="3"/>
        <v>0</v>
      </c>
      <c r="O23" s="14"/>
      <c r="P23" s="1">
        <f>SUM(OSRRefP22_2x_0)</f>
        <v>72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72</v>
      </c>
      <c r="Y23" s="1"/>
      <c r="Z23" s="5">
        <f t="shared" si="7"/>
        <v>0</v>
      </c>
    </row>
    <row r="24" spans="1:26" s="24" customFormat="1" hidden="1" outlineLevel="2" x14ac:dyDescent="0.3">
      <c r="A24" s="27"/>
      <c r="B24" s="11" t="str">
        <f>CONCATENATE("          ", "6309", " - ", "TELEPHONE")</f>
        <v xml:space="preserve">          6309 - TELEPHONE</v>
      </c>
      <c r="C24" s="11"/>
      <c r="D24" s="6">
        <v>36</v>
      </c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36</v>
      </c>
      <c r="M24" s="2"/>
      <c r="N24" s="7">
        <f t="shared" si="3"/>
        <v>0</v>
      </c>
      <c r="O24" s="11"/>
      <c r="P24" s="6">
        <v>72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72</v>
      </c>
      <c r="Y24" s="2"/>
      <c r="Z24" s="7">
        <f t="shared" si="7"/>
        <v>0</v>
      </c>
    </row>
    <row r="25" spans="1:26" s="53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277</v>
      </c>
      <c r="C28" s="26"/>
      <c r="D28" s="21">
        <f>+D16-D18+D26</f>
        <v>-613.36</v>
      </c>
      <c r="E28" s="13"/>
      <c r="F28" s="20">
        <f>IF(D$12=0,0,D28/D$12)</f>
        <v>0</v>
      </c>
      <c r="G28" s="13"/>
      <c r="H28" s="21">
        <f>+H16-H18+H26</f>
        <v>-577</v>
      </c>
      <c r="I28" s="13"/>
      <c r="J28" s="20">
        <f>IF(H$12=0,0,H28/H$12)</f>
        <v>0</v>
      </c>
      <c r="K28" s="16"/>
      <c r="L28" s="21">
        <f>+D28-H28</f>
        <v>-36.360000000000014</v>
      </c>
      <c r="M28" s="16"/>
      <c r="N28" s="20">
        <f>IF(H28=0,0,L28/H28)</f>
        <v>6.3015597920277319E-2</v>
      </c>
      <c r="O28" s="25"/>
      <c r="P28" s="21">
        <f>+P16-P18+P26</f>
        <v>-1226.72</v>
      </c>
      <c r="Q28" s="13"/>
      <c r="R28" s="20">
        <f>IF(P$12=0,0,P28/P$12)</f>
        <v>0</v>
      </c>
      <c r="S28" s="13"/>
      <c r="T28" s="21">
        <f>+T16-T18+T26</f>
        <v>-1154</v>
      </c>
      <c r="U28" s="13"/>
      <c r="V28" s="20">
        <f>IF(T$12=0,0,T28/T$12)</f>
        <v>0</v>
      </c>
      <c r="W28" s="16"/>
      <c r="X28" s="21">
        <f>+P28-T28</f>
        <v>-72.720000000000027</v>
      </c>
      <c r="Y28" s="16"/>
      <c r="Z28" s="20">
        <f>IF(T28=0,0,X28/T28)</f>
        <v>6.3015597920277319E-2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126</v>
      </c>
      <c r="C32" s="26"/>
      <c r="D32" s="30">
        <f>+D28-D30</f>
        <v>-613.36</v>
      </c>
      <c r="E32" s="13"/>
      <c r="F32" s="35">
        <f>IF(D$12=0,0,D32/D$12)</f>
        <v>0</v>
      </c>
      <c r="G32" s="13"/>
      <c r="H32" s="30">
        <f>+H28-H30</f>
        <v>-577</v>
      </c>
      <c r="I32" s="13"/>
      <c r="J32" s="35">
        <f>IF(H$12=0,0,H32/H$12)</f>
        <v>0</v>
      </c>
      <c r="K32" s="16"/>
      <c r="L32" s="30">
        <f>D32-H32</f>
        <v>-36.360000000000014</v>
      </c>
      <c r="M32" s="16"/>
      <c r="N32" s="35">
        <f>IF(H32=0,0,L32/H32)</f>
        <v>6.3015597920277319E-2</v>
      </c>
      <c r="O32" s="25"/>
      <c r="P32" s="30">
        <f>+P28-P30</f>
        <v>-1226.72</v>
      </c>
      <c r="Q32" s="13"/>
      <c r="R32" s="35">
        <f>IF(P$12=0,0,P32/P$12)</f>
        <v>0</v>
      </c>
      <c r="S32" s="13"/>
      <c r="T32" s="30">
        <f>+T28-T30</f>
        <v>-1154</v>
      </c>
      <c r="U32" s="13"/>
      <c r="V32" s="35">
        <f>IF(T$12=0,0,T32/T$12)</f>
        <v>0</v>
      </c>
      <c r="W32" s="16"/>
      <c r="X32" s="30">
        <f>P32-T32</f>
        <v>-72.720000000000027</v>
      </c>
      <c r="Y32" s="16"/>
      <c r="Z32" s="35">
        <f>IF(T32=0,0,X32/T32)</f>
        <v>6.3015597920277319E-2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294</v>
      </c>
      <c r="C35" s="26"/>
      <c r="D35" s="32">
        <f>SUM(D32:D34)</f>
        <v>-613.36</v>
      </c>
      <c r="E35" s="13"/>
      <c r="F35" s="34">
        <f>IF(D$12=0,0,D35/D$12)</f>
        <v>0</v>
      </c>
      <c r="G35" s="13"/>
      <c r="H35" s="32">
        <f>SUM(H32:H34)</f>
        <v>-577</v>
      </c>
      <c r="I35" s="13"/>
      <c r="J35" s="34">
        <f>IF(H$12=0,0,H35/H$12)</f>
        <v>0</v>
      </c>
      <c r="K35" s="16"/>
      <c r="L35" s="32">
        <f>+D35-H35</f>
        <v>-36.360000000000014</v>
      </c>
      <c r="M35" s="16"/>
      <c r="N35" s="34">
        <f>IF(H35=0,0,L35/H35)</f>
        <v>6.3015597920277319E-2</v>
      </c>
      <c r="O35" s="25"/>
      <c r="P35" s="32">
        <f>SUM(P32:P34)</f>
        <v>-1226.72</v>
      </c>
      <c r="Q35" s="13"/>
      <c r="R35" s="34">
        <f>IF(P$12=0,0,P35/P$12)</f>
        <v>0</v>
      </c>
      <c r="S35" s="13"/>
      <c r="T35" s="32">
        <f>SUM(T32:T34)</f>
        <v>-1154</v>
      </c>
      <c r="U35" s="13"/>
      <c r="V35" s="34">
        <f>IF(T$12=0,0,T35/T$12)</f>
        <v>0</v>
      </c>
      <c r="W35" s="16"/>
      <c r="X35" s="32">
        <f>+P35-T35</f>
        <v>-72.720000000000027</v>
      </c>
      <c r="Y35" s="16"/>
      <c r="Z35" s="34">
        <f>IF(T35=0,0,X35/T35)</f>
        <v>6.3015597920277319E-2</v>
      </c>
    </row>
    <row r="36" spans="1:26" ht="15" thickTop="1" x14ac:dyDescent="0.3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61">
        <v>44470.835499687499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8" t="s">
        <v>56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5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","413", " - ", "Beach Walk")</f>
        <v>Department 413 - Beach Walk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58.03</v>
      </c>
      <c r="E18" s="22"/>
      <c r="F18" s="31">
        <f t="shared" ref="F18:F22" si="0">IF(D$12=0,0,D18/D$12)</f>
        <v>0</v>
      </c>
      <c r="G18" s="22"/>
      <c r="H18" s="22">
        <f>SUM(OSRRefH22x_0)</f>
        <v>58</v>
      </c>
      <c r="I18" s="22"/>
      <c r="J18" s="31">
        <f t="shared" ref="J18:J22" si="1">IF(H$12=0,0,H18/H$12)</f>
        <v>0</v>
      </c>
      <c r="K18" s="4"/>
      <c r="L18" s="22">
        <f t="shared" ref="L18:L22" si="2">+D18-H18</f>
        <v>3.0000000000001137E-2</v>
      </c>
      <c r="M18" s="4"/>
      <c r="N18" s="31">
        <f t="shared" ref="N18:N22" si="3">IF(H18=0,0,L18/H18)</f>
        <v>5.1724137931036447E-4</v>
      </c>
      <c r="O18" s="10"/>
      <c r="P18" s="22">
        <f>SUM(OSRRefP22x_0)</f>
        <v>116.06</v>
      </c>
      <c r="Q18" s="22"/>
      <c r="R18" s="31">
        <f t="shared" ref="R18:R22" si="4">IF(P$12=0,0,P18/P$12)</f>
        <v>0</v>
      </c>
      <c r="S18" s="22"/>
      <c r="T18" s="22">
        <f>SUM(OSRRefT22x_0)</f>
        <v>116</v>
      </c>
      <c r="U18" s="22"/>
      <c r="V18" s="31">
        <f t="shared" ref="V18:V22" si="5">IF(T$12=0,0,T18/T$12)</f>
        <v>0</v>
      </c>
      <c r="W18" s="4"/>
      <c r="X18" s="22">
        <f t="shared" ref="X18:X22" si="6">+P18-T18</f>
        <v>6.0000000000002274E-2</v>
      </c>
      <c r="Y18" s="4"/>
      <c r="Z18" s="31">
        <f t="shared" ref="Z18:Z22" si="7">IF(T18=0,0,X18/T18)</f>
        <v>5.1724137931036447E-4</v>
      </c>
    </row>
    <row r="19" spans="1:26" s="28" customFormat="1" outlineLevel="1" collapsed="1" x14ac:dyDescent="0.3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58.03</v>
      </c>
      <c r="E19" s="1"/>
      <c r="F19" s="5">
        <f t="shared" si="0"/>
        <v>0</v>
      </c>
      <c r="G19" s="1"/>
      <c r="H19" s="1">
        <f>SUM(OSRRefH22_0x_0)</f>
        <v>58</v>
      </c>
      <c r="I19" s="1"/>
      <c r="J19" s="5">
        <f t="shared" si="1"/>
        <v>0</v>
      </c>
      <c r="K19" s="1"/>
      <c r="L19" s="1">
        <f t="shared" si="2"/>
        <v>3.0000000000001137E-2</v>
      </c>
      <c r="M19" s="1"/>
      <c r="N19" s="5">
        <f t="shared" si="3"/>
        <v>5.1724137931036447E-4</v>
      </c>
      <c r="O19" s="14"/>
      <c r="P19" s="1">
        <f>SUM(OSRRefP22_0x_0)</f>
        <v>116.06</v>
      </c>
      <c r="Q19" s="1"/>
      <c r="R19" s="5">
        <f t="shared" si="4"/>
        <v>0</v>
      </c>
      <c r="S19" s="1"/>
      <c r="T19" s="1">
        <f>SUM(OSRRefT22_0x_0)</f>
        <v>116</v>
      </c>
      <c r="U19" s="1"/>
      <c r="V19" s="5">
        <f t="shared" si="5"/>
        <v>0</v>
      </c>
      <c r="W19" s="1"/>
      <c r="X19" s="1">
        <f t="shared" si="6"/>
        <v>6.0000000000002274E-2</v>
      </c>
      <c r="Y19" s="1"/>
      <c r="Z19" s="5">
        <f t="shared" si="7"/>
        <v>5.1724137931036447E-4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58.03</v>
      </c>
      <c r="E20" s="2"/>
      <c r="F20" s="7">
        <f t="shared" si="0"/>
        <v>0</v>
      </c>
      <c r="G20" s="2"/>
      <c r="H20" s="6">
        <v>58</v>
      </c>
      <c r="I20" s="2"/>
      <c r="J20" s="7">
        <f t="shared" si="1"/>
        <v>0</v>
      </c>
      <c r="K20" s="2"/>
      <c r="L20" s="6">
        <f t="shared" si="2"/>
        <v>3.0000000000001137E-2</v>
      </c>
      <c r="M20" s="2"/>
      <c r="N20" s="7">
        <f t="shared" si="3"/>
        <v>5.1724137931036447E-4</v>
      </c>
      <c r="O20" s="11"/>
      <c r="P20" s="6">
        <v>116.06</v>
      </c>
      <c r="Q20" s="2"/>
      <c r="R20" s="7">
        <f t="shared" si="4"/>
        <v>0</v>
      </c>
      <c r="S20" s="2"/>
      <c r="T20" s="6">
        <v>116</v>
      </c>
      <c r="U20" s="2"/>
      <c r="V20" s="7">
        <f t="shared" si="5"/>
        <v>0</v>
      </c>
      <c r="W20" s="2"/>
      <c r="X20" s="6">
        <f t="shared" si="6"/>
        <v>6.0000000000002274E-2</v>
      </c>
      <c r="Y20" s="2"/>
      <c r="Z20" s="7">
        <f t="shared" si="7"/>
        <v>5.1724137931036447E-4</v>
      </c>
    </row>
    <row r="21" spans="1:26" s="28" customFormat="1" outlineLevel="1" collapsed="1" x14ac:dyDescent="0.3">
      <c r="A21" s="29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"6284", " - ", "TRASH REMOVAL EXPENSE")</f>
        <v xml:space="preserve">          6284 - TRASH REMOVAL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10"/>
      <c r="B26" s="26" t="s">
        <v>277</v>
      </c>
      <c r="C26" s="26"/>
      <c r="D26" s="21">
        <f>+D16-D18+D24</f>
        <v>-58.03</v>
      </c>
      <c r="E26" s="13"/>
      <c r="F26" s="20">
        <f>IF(D$12=0,0,D26/D$12)</f>
        <v>0</v>
      </c>
      <c r="G26" s="13"/>
      <c r="H26" s="21">
        <f>+H16-H18+H24</f>
        <v>-58</v>
      </c>
      <c r="I26" s="13"/>
      <c r="J26" s="20">
        <f>IF(H$12=0,0,H26/H$12)</f>
        <v>0</v>
      </c>
      <c r="K26" s="16"/>
      <c r="L26" s="21">
        <f>+D26-H26</f>
        <v>-3.0000000000001137E-2</v>
      </c>
      <c r="M26" s="16"/>
      <c r="N26" s="20">
        <f>IF(H26=0,0,L26/H26)</f>
        <v>5.1724137931036447E-4</v>
      </c>
      <c r="O26" s="25"/>
      <c r="P26" s="21">
        <f>+P16-P18+P24</f>
        <v>-116.06</v>
      </c>
      <c r="Q26" s="13"/>
      <c r="R26" s="20">
        <f>IF(P$12=0,0,P26/P$12)</f>
        <v>0</v>
      </c>
      <c r="S26" s="13"/>
      <c r="T26" s="21">
        <f>+T16-T18+T24</f>
        <v>-116</v>
      </c>
      <c r="U26" s="13"/>
      <c r="V26" s="20">
        <f>IF(T$12=0,0,T26/T$12)</f>
        <v>0</v>
      </c>
      <c r="W26" s="16"/>
      <c r="X26" s="21">
        <f>+P26-T26</f>
        <v>-6.0000000000002274E-2</v>
      </c>
      <c r="Y26" s="16"/>
      <c r="Z26" s="20">
        <f>IF(T26=0,0,X26/T26)</f>
        <v>5.1724137931036447E-4</v>
      </c>
    </row>
    <row r="27" spans="1:26" x14ac:dyDescent="0.3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" thickBot="1" x14ac:dyDescent="0.35">
      <c r="A30" s="10"/>
      <c r="B30" s="26" t="s">
        <v>126</v>
      </c>
      <c r="C30" s="26"/>
      <c r="D30" s="30">
        <f>+D26-D28</f>
        <v>-58.03</v>
      </c>
      <c r="E30" s="13"/>
      <c r="F30" s="35">
        <f>IF(D$12=0,0,D30/D$12)</f>
        <v>0</v>
      </c>
      <c r="G30" s="13"/>
      <c r="H30" s="30">
        <f>+H26-H28</f>
        <v>-58</v>
      </c>
      <c r="I30" s="13"/>
      <c r="J30" s="35">
        <f>IF(H$12=0,0,H30/H$12)</f>
        <v>0</v>
      </c>
      <c r="K30" s="16"/>
      <c r="L30" s="30">
        <f>D30-H30</f>
        <v>-3.0000000000001137E-2</v>
      </c>
      <c r="M30" s="16"/>
      <c r="N30" s="35">
        <f>IF(H30=0,0,L30/H30)</f>
        <v>5.1724137931036447E-4</v>
      </c>
      <c r="O30" s="25"/>
      <c r="P30" s="30">
        <f>+P26-P28</f>
        <v>-116.06</v>
      </c>
      <c r="Q30" s="13"/>
      <c r="R30" s="35">
        <f>IF(P$12=0,0,P30/P$12)</f>
        <v>0</v>
      </c>
      <c r="S30" s="13"/>
      <c r="T30" s="30">
        <f>+T26-T28</f>
        <v>-116</v>
      </c>
      <c r="U30" s="13"/>
      <c r="V30" s="35">
        <f>IF(T$12=0,0,T30/T$12)</f>
        <v>0</v>
      </c>
      <c r="W30" s="16"/>
      <c r="X30" s="30">
        <f>P30-T30</f>
        <v>-6.0000000000002274E-2</v>
      </c>
      <c r="Y30" s="16"/>
      <c r="Z30" s="35">
        <f>IF(T30=0,0,X30/T30)</f>
        <v>5.1724137931036447E-4</v>
      </c>
    </row>
    <row r="31" spans="1:26" ht="15" thickTop="1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6" t="s">
        <v>294</v>
      </c>
      <c r="C33" s="26"/>
      <c r="D33" s="32">
        <f>SUM(D30:D32)</f>
        <v>-58.03</v>
      </c>
      <c r="E33" s="13"/>
      <c r="F33" s="34">
        <f>IF(D$12=0,0,D33/D$12)</f>
        <v>0</v>
      </c>
      <c r="G33" s="13"/>
      <c r="H33" s="32">
        <f>SUM(H30:H32)</f>
        <v>-58</v>
      </c>
      <c r="I33" s="13"/>
      <c r="J33" s="34">
        <f>IF(H$12=0,0,H33/H$12)</f>
        <v>0</v>
      </c>
      <c r="K33" s="16"/>
      <c r="L33" s="32">
        <f>+D33-H33</f>
        <v>-3.0000000000001137E-2</v>
      </c>
      <c r="M33" s="16"/>
      <c r="N33" s="34">
        <f>IF(H33=0,0,L33/H33)</f>
        <v>5.1724137931036447E-4</v>
      </c>
      <c r="O33" s="25"/>
      <c r="P33" s="32">
        <f>SUM(P30:P32)</f>
        <v>-116.06</v>
      </c>
      <c r="Q33" s="13"/>
      <c r="R33" s="34">
        <f>IF(P$12=0,0,P33/P$12)</f>
        <v>0</v>
      </c>
      <c r="S33" s="13"/>
      <c r="T33" s="32">
        <f>SUM(T30:T32)</f>
        <v>-116</v>
      </c>
      <c r="U33" s="13"/>
      <c r="V33" s="34">
        <f>IF(T$12=0,0,T33/T$12)</f>
        <v>0</v>
      </c>
      <c r="W33" s="16"/>
      <c r="X33" s="32">
        <f>+P33-T33</f>
        <v>-6.0000000000002274E-2</v>
      </c>
      <c r="Y33" s="16"/>
      <c r="Z33" s="34">
        <f>IF(T33=0,0,X33/T33)</f>
        <v>5.1724137931036447E-4</v>
      </c>
    </row>
    <row r="34" spans="1:26" ht="15" thickTop="1" x14ac:dyDescent="0.3">
      <c r="A34" s="9"/>
      <c r="C34" s="9"/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6" x14ac:dyDescent="0.3">
      <c r="A35" s="9"/>
      <c r="B35" s="61">
        <v>44470.835499687499</v>
      </c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6" x14ac:dyDescent="0.3">
      <c r="A36" s="9"/>
      <c r="B36" s="58" t="s">
        <v>56</v>
      </c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55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","415", " - ", "Outpost")</f>
        <v>Department 415 - Outpost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36916.019999999997</v>
      </c>
      <c r="E12" s="4"/>
      <c r="F12" s="12"/>
      <c r="G12" s="4"/>
      <c r="H12" s="4">
        <f>SUM(OSRRefH13x_0)</f>
        <v>13183</v>
      </c>
      <c r="I12" s="4"/>
      <c r="J12" s="12"/>
      <c r="K12" s="4"/>
      <c r="L12" s="4">
        <f t="shared" ref="L12:L16" si="0">+D12-H12</f>
        <v>23733.019999999997</v>
      </c>
      <c r="M12" s="4"/>
      <c r="N12" s="12">
        <f t="shared" ref="N12:N16" si="1">IF(H12=0,0,L12/H12)</f>
        <v>1.800274596070697</v>
      </c>
      <c r="O12" s="10"/>
      <c r="P12" s="4">
        <f>SUM(OSRRefP13x_0)</f>
        <v>56618.33</v>
      </c>
      <c r="Q12" s="4"/>
      <c r="R12" s="12"/>
      <c r="S12" s="4"/>
      <c r="T12" s="4">
        <f>SUM(OSRRefT13x_0)</f>
        <v>19234</v>
      </c>
      <c r="U12" s="4"/>
      <c r="V12" s="12"/>
      <c r="W12" s="4"/>
      <c r="X12" s="4">
        <f t="shared" ref="X12:X16" si="2">+P12-T12</f>
        <v>37384.33</v>
      </c>
      <c r="Y12" s="4"/>
      <c r="Z12" s="12">
        <f t="shared" ref="Z12:Z16" si="3">IF(T12=0,0,X12/T12)</f>
        <v>1.9436586253509411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4100</v>
      </c>
      <c r="I13" s="2"/>
      <c r="J13" s="19"/>
      <c r="K13" s="2"/>
      <c r="L13" s="2">
        <f t="shared" si="0"/>
        <v>-4100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5982</v>
      </c>
      <c r="U13" s="2"/>
      <c r="V13" s="19"/>
      <c r="W13" s="2"/>
      <c r="X13" s="2">
        <f t="shared" si="2"/>
        <v>-5982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--18369.85</f>
        <v>18369.849999999999</v>
      </c>
      <c r="E14" s="2"/>
      <c r="F14" s="19"/>
      <c r="G14" s="2"/>
      <c r="H14" s="2"/>
      <c r="I14" s="2"/>
      <c r="J14" s="19"/>
      <c r="K14" s="2"/>
      <c r="L14" s="2">
        <f t="shared" si="0"/>
        <v>18369.849999999999</v>
      </c>
      <c r="M14" s="2"/>
      <c r="N14" s="19">
        <f t="shared" si="1"/>
        <v>0</v>
      </c>
      <c r="O14" s="11"/>
      <c r="P14" s="2">
        <f>--29000.78</f>
        <v>29000.78</v>
      </c>
      <c r="Q14" s="2"/>
      <c r="R14" s="19"/>
      <c r="S14" s="2"/>
      <c r="T14" s="2"/>
      <c r="U14" s="2"/>
      <c r="V14" s="19"/>
      <c r="W14" s="2"/>
      <c r="X14" s="2">
        <f t="shared" si="2"/>
        <v>29000.78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9083</v>
      </c>
      <c r="I15" s="2"/>
      <c r="J15" s="19"/>
      <c r="K15" s="2"/>
      <c r="L15" s="2">
        <f t="shared" si="0"/>
        <v>-9083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13252</v>
      </c>
      <c r="U15" s="2"/>
      <c r="V15" s="19"/>
      <c r="W15" s="2"/>
      <c r="X15" s="2">
        <f t="shared" si="2"/>
        <v>-13252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--18546.17</f>
        <v>18546.169999999998</v>
      </c>
      <c r="E16" s="2"/>
      <c r="F16" s="19"/>
      <c r="G16" s="2"/>
      <c r="H16" s="2"/>
      <c r="I16" s="2"/>
      <c r="J16" s="19"/>
      <c r="K16" s="2"/>
      <c r="L16" s="2">
        <f t="shared" si="0"/>
        <v>18546.169999999998</v>
      </c>
      <c r="M16" s="2"/>
      <c r="N16" s="19">
        <f t="shared" si="1"/>
        <v>0</v>
      </c>
      <c r="O16" s="11"/>
      <c r="P16" s="2">
        <f>--27617.55</f>
        <v>27617.55</v>
      </c>
      <c r="Q16" s="2"/>
      <c r="R16" s="19"/>
      <c r="S16" s="2"/>
      <c r="T16" s="2"/>
      <c r="U16" s="2"/>
      <c r="V16" s="19"/>
      <c r="W16" s="2"/>
      <c r="X16" s="2">
        <f t="shared" si="2"/>
        <v>27617.55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9009.66</v>
      </c>
      <c r="E18" s="4"/>
      <c r="F18" s="12">
        <f t="shared" ref="F18:F21" si="4">IF(D$12=0,0,D18/D$12)</f>
        <v>0.24405827063697552</v>
      </c>
      <c r="G18" s="4"/>
      <c r="H18" s="4">
        <f>SUM(OSRRefH16x_0)</f>
        <v>5010</v>
      </c>
      <c r="I18" s="4"/>
      <c r="J18" s="12">
        <f t="shared" ref="J18:J21" si="5">IF(H$12=0,0,H18/H$12)</f>
        <v>0.38003489342334823</v>
      </c>
      <c r="K18" s="4"/>
      <c r="L18" s="4">
        <f t="shared" ref="L18:L21" si="6">+D18-H18</f>
        <v>3999.66</v>
      </c>
      <c r="M18" s="4"/>
      <c r="N18" s="12">
        <f t="shared" ref="N18:N21" si="7">IF(H18=0,0,L18/H18)</f>
        <v>0.79833532934131735</v>
      </c>
      <c r="O18" s="10"/>
      <c r="P18" s="4">
        <f>SUM(OSRRefP16x_0)</f>
        <v>15103.77</v>
      </c>
      <c r="Q18" s="4"/>
      <c r="R18" s="12">
        <f t="shared" ref="R18:R21" si="8">IF(P$12=0,0,P18/P$12)</f>
        <v>0.266764667908785</v>
      </c>
      <c r="S18" s="4"/>
      <c r="T18" s="4">
        <f>SUM(OSRRefT16x_0)</f>
        <v>7309</v>
      </c>
      <c r="U18" s="4"/>
      <c r="V18" s="12">
        <f t="shared" ref="V18:V21" si="9">IF(T$12=0,0,T18/T$12)</f>
        <v>0.38000415930123738</v>
      </c>
      <c r="W18" s="4"/>
      <c r="X18" s="4">
        <f t="shared" ref="X18:X21" si="10">+P18-T18</f>
        <v>7794.77</v>
      </c>
      <c r="Y18" s="4"/>
      <c r="Z18" s="12">
        <f t="shared" ref="Z18:Z21" si="11">IF(T18=0,0,X18/T18)</f>
        <v>1.0664618962922425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5010</v>
      </c>
      <c r="I19" s="2"/>
      <c r="J19" s="19">
        <f t="shared" si="5"/>
        <v>0.38003489342334823</v>
      </c>
      <c r="K19" s="2"/>
      <c r="L19" s="2">
        <f t="shared" si="6"/>
        <v>-5010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7309</v>
      </c>
      <c r="U19" s="2"/>
      <c r="V19" s="19">
        <f t="shared" si="9"/>
        <v>0.38000415930123738</v>
      </c>
      <c r="W19" s="2"/>
      <c r="X19" s="2">
        <f t="shared" si="10"/>
        <v>-7309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18296.66</v>
      </c>
      <c r="E20" s="2"/>
      <c r="F20" s="19">
        <f t="shared" si="4"/>
        <v>0.49562926881066816</v>
      </c>
      <c r="G20" s="2"/>
      <c r="H20" s="2"/>
      <c r="I20" s="2"/>
      <c r="J20" s="19">
        <f t="shared" si="5"/>
        <v>0</v>
      </c>
      <c r="K20" s="2"/>
      <c r="L20" s="2">
        <f t="shared" si="6"/>
        <v>18296.66</v>
      </c>
      <c r="M20" s="2"/>
      <c r="N20" s="19">
        <f t="shared" si="7"/>
        <v>0</v>
      </c>
      <c r="O20" s="11"/>
      <c r="P20" s="2">
        <v>27555.77</v>
      </c>
      <c r="Q20" s="2"/>
      <c r="R20" s="19">
        <f t="shared" si="8"/>
        <v>0.48669344362505923</v>
      </c>
      <c r="S20" s="2"/>
      <c r="T20" s="2"/>
      <c r="U20" s="2"/>
      <c r="V20" s="19">
        <f t="shared" si="9"/>
        <v>0</v>
      </c>
      <c r="W20" s="2"/>
      <c r="X20" s="2">
        <f t="shared" si="10"/>
        <v>27555.77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-9287</v>
      </c>
      <c r="E21" s="2"/>
      <c r="F21" s="19">
        <f t="shared" si="4"/>
        <v>-0.25157099817369266</v>
      </c>
      <c r="G21" s="2"/>
      <c r="H21" s="2"/>
      <c r="I21" s="2"/>
      <c r="J21" s="19">
        <f t="shared" si="5"/>
        <v>0</v>
      </c>
      <c r="K21" s="2"/>
      <c r="L21" s="2">
        <f t="shared" si="6"/>
        <v>-9287</v>
      </c>
      <c r="M21" s="2"/>
      <c r="N21" s="19">
        <f t="shared" si="7"/>
        <v>0</v>
      </c>
      <c r="O21" s="11"/>
      <c r="P21" s="2">
        <v>-12452</v>
      </c>
      <c r="Q21" s="2"/>
      <c r="R21" s="19">
        <f t="shared" si="8"/>
        <v>-0.2199287757162742</v>
      </c>
      <c r="S21" s="2"/>
      <c r="T21" s="2"/>
      <c r="U21" s="2"/>
      <c r="V21" s="19">
        <f t="shared" si="9"/>
        <v>0</v>
      </c>
      <c r="W21" s="2"/>
      <c r="X21" s="2">
        <f t="shared" si="10"/>
        <v>-12452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27906.359999999997</v>
      </c>
      <c r="E23" s="13"/>
      <c r="F23" s="20">
        <f>IF(D$12=0,0,D23/D$12)</f>
        <v>0.75594172936302451</v>
      </c>
      <c r="G23" s="13"/>
      <c r="H23" s="21">
        <f>H12-H18</f>
        <v>8173</v>
      </c>
      <c r="I23" s="13"/>
      <c r="J23" s="20">
        <f>IF(H$12=0,0,H23/H$12)</f>
        <v>0.61996510657665171</v>
      </c>
      <c r="K23" s="16"/>
      <c r="L23" s="21">
        <f>+D23-H23</f>
        <v>19733.359999999997</v>
      </c>
      <c r="M23" s="16"/>
      <c r="N23" s="20">
        <f>IF(H23=0,0,L23/H23)</f>
        <v>2.414457359598678</v>
      </c>
      <c r="O23" s="25"/>
      <c r="P23" s="21">
        <f>P12-P18</f>
        <v>41514.559999999998</v>
      </c>
      <c r="Q23" s="13"/>
      <c r="R23" s="20">
        <f>IF(P$12=0,0,P23/P$12)</f>
        <v>0.73323533209121494</v>
      </c>
      <c r="S23" s="13"/>
      <c r="T23" s="21">
        <f>T12-T18</f>
        <v>11925</v>
      </c>
      <c r="U23" s="13"/>
      <c r="V23" s="20">
        <f>IF(T$12=0,0,T23/T$12)</f>
        <v>0.61999584069876257</v>
      </c>
      <c r="W23" s="16"/>
      <c r="X23" s="21">
        <f>+P23-T23</f>
        <v>29589.559999999998</v>
      </c>
      <c r="Y23" s="16"/>
      <c r="Z23" s="20">
        <f>IF(T23=0,0,X23/T23)</f>
        <v>2.4813048218029348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2">
        <f>SUM(OSRRefD22x_0)</f>
        <v>79206.290000000023</v>
      </c>
      <c r="E25" s="22"/>
      <c r="F25" s="31">
        <f t="shared" ref="F25:F35" si="12">IF(D$12=0,0,D25/D$12)</f>
        <v>2.1455804282260122</v>
      </c>
      <c r="G25" s="22"/>
      <c r="H25" s="22">
        <f>SUM(OSRRefH22x_0)</f>
        <v>58659.473306203079</v>
      </c>
      <c r="I25" s="22"/>
      <c r="J25" s="31">
        <f t="shared" ref="J25:J35" si="13">IF(H$12=0,0,H25/H$12)</f>
        <v>4.4496300770843566</v>
      </c>
      <c r="K25" s="4"/>
      <c r="L25" s="22">
        <f t="shared" ref="L25:L35" si="14">+D25-H25</f>
        <v>20546.816693796944</v>
      </c>
      <c r="M25" s="4"/>
      <c r="N25" s="31">
        <f t="shared" ref="N25:N35" si="15">IF(H25=0,0,L25/H25)</f>
        <v>0.3502727783889627</v>
      </c>
      <c r="O25" s="10"/>
      <c r="P25" s="22">
        <f>SUM(OSRRefP22x_0)</f>
        <v>139227.43000000002</v>
      </c>
      <c r="Q25" s="22"/>
      <c r="R25" s="31">
        <f t="shared" ref="R25:R35" si="16">IF(P$12=0,0,P25/P$12)</f>
        <v>2.4590522186012906</v>
      </c>
      <c r="S25" s="22"/>
      <c r="T25" s="22">
        <f>SUM(OSRRefT22x_0)</f>
        <v>111773.03100458194</v>
      </c>
      <c r="U25" s="22"/>
      <c r="V25" s="31">
        <f t="shared" ref="V25:V35" si="17">IF(T$12=0,0,T25/T$12)</f>
        <v>5.811221327055315</v>
      </c>
      <c r="W25" s="4"/>
      <c r="X25" s="22">
        <f t="shared" ref="X25:X35" si="18">+P25-T25</f>
        <v>27454.398995418087</v>
      </c>
      <c r="Y25" s="4"/>
      <c r="Z25" s="31">
        <f t="shared" ref="Z25:Z35" si="19">IF(T25=0,0,X25/T25)</f>
        <v>0.24562632639256821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10432.23</v>
      </c>
      <c r="E26" s="1"/>
      <c r="F26" s="5">
        <f t="shared" si="12"/>
        <v>0.28259357319667722</v>
      </c>
      <c r="G26" s="1"/>
      <c r="H26" s="1">
        <f>SUM(OSRRefH22_0x_0)</f>
        <v>6571.2686062030798</v>
      </c>
      <c r="I26" s="1"/>
      <c r="J26" s="5">
        <f t="shared" si="13"/>
        <v>0.49846534219851929</v>
      </c>
      <c r="K26" s="1"/>
      <c r="L26" s="1">
        <f t="shared" si="14"/>
        <v>3860.9613937969198</v>
      </c>
      <c r="M26" s="1"/>
      <c r="N26" s="5">
        <f t="shared" si="15"/>
        <v>0.58755190590630979</v>
      </c>
      <c r="O26" s="14"/>
      <c r="P26" s="1">
        <f>SUM(OSRRefP22_0x_0)</f>
        <v>20530.060000000001</v>
      </c>
      <c r="Q26" s="1"/>
      <c r="R26" s="5">
        <f t="shared" si="16"/>
        <v>0.36260447809039936</v>
      </c>
      <c r="S26" s="1"/>
      <c r="T26" s="1">
        <f>SUM(OSRRefT22_0x_0)</f>
        <v>13553.007929581931</v>
      </c>
      <c r="U26" s="1"/>
      <c r="V26" s="5">
        <f t="shared" si="17"/>
        <v>0.70463803314869145</v>
      </c>
      <c r="W26" s="1"/>
      <c r="X26" s="1">
        <f t="shared" si="18"/>
        <v>6977.0520704180708</v>
      </c>
      <c r="Y26" s="1"/>
      <c r="Z26" s="5">
        <f t="shared" si="19"/>
        <v>0.51479731338379675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1344.16</v>
      </c>
      <c r="E27" s="2"/>
      <c r="F27" s="7">
        <f t="shared" si="12"/>
        <v>3.641129244160124E-2</v>
      </c>
      <c r="G27" s="2"/>
      <c r="H27" s="6">
        <v>942.86306927999999</v>
      </c>
      <c r="I27" s="2"/>
      <c r="J27" s="7">
        <f t="shared" si="13"/>
        <v>7.1521130947432301E-2</v>
      </c>
      <c r="K27" s="2"/>
      <c r="L27" s="6">
        <f t="shared" si="14"/>
        <v>401.29693072000009</v>
      </c>
      <c r="M27" s="2"/>
      <c r="N27" s="7">
        <f t="shared" si="15"/>
        <v>0.42561528157682865</v>
      </c>
      <c r="O27" s="11"/>
      <c r="P27" s="6">
        <v>2465.5100000000002</v>
      </c>
      <c r="Q27" s="2"/>
      <c r="R27" s="7">
        <f t="shared" si="16"/>
        <v>4.3546144861566917E-2</v>
      </c>
      <c r="S27" s="2"/>
      <c r="T27" s="6">
        <v>1898.954846505</v>
      </c>
      <c r="U27" s="2"/>
      <c r="V27" s="7">
        <f t="shared" si="17"/>
        <v>9.8729065535250071E-2</v>
      </c>
      <c r="W27" s="2"/>
      <c r="X27" s="6">
        <f t="shared" si="18"/>
        <v>566.55515349500024</v>
      </c>
      <c r="Y27" s="2"/>
      <c r="Z27" s="7">
        <f t="shared" si="19"/>
        <v>0.2983510400669806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632.17999999999995</v>
      </c>
      <c r="E28" s="2"/>
      <c r="F28" s="7">
        <f t="shared" si="12"/>
        <v>1.7124814646866049E-2</v>
      </c>
      <c r="G28" s="2"/>
      <c r="H28" s="6">
        <v>592.15627040000004</v>
      </c>
      <c r="I28" s="2"/>
      <c r="J28" s="7">
        <f t="shared" si="13"/>
        <v>4.4918172676932419E-2</v>
      </c>
      <c r="K28" s="2"/>
      <c r="L28" s="6">
        <f t="shared" si="14"/>
        <v>40.023729599999911</v>
      </c>
      <c r="M28" s="2"/>
      <c r="N28" s="7">
        <f t="shared" si="15"/>
        <v>6.7589809651030092E-2</v>
      </c>
      <c r="O28" s="11"/>
      <c r="P28" s="6">
        <v>1159.8</v>
      </c>
      <c r="Q28" s="2"/>
      <c r="R28" s="7">
        <f t="shared" si="16"/>
        <v>2.0484532129435819E-2</v>
      </c>
      <c r="S28" s="2"/>
      <c r="T28" s="6">
        <v>1065.64220215</v>
      </c>
      <c r="U28" s="2"/>
      <c r="V28" s="7">
        <f t="shared" si="17"/>
        <v>5.5404086625246957E-2</v>
      </c>
      <c r="W28" s="2"/>
      <c r="X28" s="6">
        <f t="shared" si="18"/>
        <v>94.157797849999952</v>
      </c>
      <c r="Y28" s="2"/>
      <c r="Z28" s="7">
        <f t="shared" si="19"/>
        <v>8.8357797448365583E-2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5217.82</v>
      </c>
      <c r="E29" s="2"/>
      <c r="F29" s="7">
        <f t="shared" si="12"/>
        <v>0.14134297250895411</v>
      </c>
      <c r="G29" s="2"/>
      <c r="H29" s="6">
        <v>3801.9230769230799</v>
      </c>
      <c r="I29" s="2"/>
      <c r="J29" s="7">
        <f t="shared" si="13"/>
        <v>0.28839589447948721</v>
      </c>
      <c r="K29" s="2"/>
      <c r="L29" s="6">
        <f t="shared" si="14"/>
        <v>1415.8969230769198</v>
      </c>
      <c r="M29" s="2"/>
      <c r="N29" s="7">
        <f t="shared" si="15"/>
        <v>0.37241598381385826</v>
      </c>
      <c r="O29" s="11"/>
      <c r="P29" s="6">
        <v>10435.64</v>
      </c>
      <c r="Q29" s="2"/>
      <c r="R29" s="7">
        <f t="shared" si="16"/>
        <v>0.18431557412590585</v>
      </c>
      <c r="S29" s="2"/>
      <c r="T29" s="6">
        <v>8060.0769230769301</v>
      </c>
      <c r="U29" s="2"/>
      <c r="V29" s="7">
        <f t="shared" si="17"/>
        <v>0.41905359899536915</v>
      </c>
      <c r="W29" s="2"/>
      <c r="X29" s="6">
        <f t="shared" si="18"/>
        <v>2375.5630769230693</v>
      </c>
      <c r="Y29" s="2"/>
      <c r="Z29" s="7">
        <f t="shared" si="19"/>
        <v>0.29473206020175291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45.66</v>
      </c>
      <c r="E30" s="2"/>
      <c r="F30" s="7">
        <f t="shared" si="12"/>
        <v>1.2368613951341449E-3</v>
      </c>
      <c r="G30" s="2"/>
      <c r="H30" s="6">
        <v>32.8107696</v>
      </c>
      <c r="I30" s="2"/>
      <c r="J30" s="7">
        <f t="shared" si="13"/>
        <v>2.488869726162482E-3</v>
      </c>
      <c r="K30" s="2"/>
      <c r="L30" s="6">
        <f t="shared" si="14"/>
        <v>12.849230399999996</v>
      </c>
      <c r="M30" s="2"/>
      <c r="N30" s="7">
        <f t="shared" si="15"/>
        <v>0.39161624541717532</v>
      </c>
      <c r="O30" s="11"/>
      <c r="P30" s="6">
        <v>83.77</v>
      </c>
      <c r="Q30" s="2"/>
      <c r="R30" s="7">
        <f t="shared" si="16"/>
        <v>1.4795561790678035E-3</v>
      </c>
      <c r="S30" s="2"/>
      <c r="T30" s="6">
        <v>59.046137850000001</v>
      </c>
      <c r="U30" s="2"/>
      <c r="V30" s="7">
        <f t="shared" si="17"/>
        <v>3.0698834277841321E-3</v>
      </c>
      <c r="W30" s="2"/>
      <c r="X30" s="6">
        <f t="shared" si="18"/>
        <v>24.723862149999995</v>
      </c>
      <c r="Y30" s="2"/>
      <c r="Z30" s="7">
        <f t="shared" si="19"/>
        <v>0.4187210722030314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870.61</v>
      </c>
      <c r="E31" s="2"/>
      <c r="F31" s="7">
        <f t="shared" si="12"/>
        <v>2.3583528235167281E-2</v>
      </c>
      <c r="G31" s="2"/>
      <c r="H31" s="6">
        <v>437.49662000000001</v>
      </c>
      <c r="I31" s="2"/>
      <c r="J31" s="7">
        <f t="shared" si="13"/>
        <v>3.3186423424106805E-2</v>
      </c>
      <c r="K31" s="2"/>
      <c r="L31" s="6">
        <f t="shared" si="14"/>
        <v>433.11338000000001</v>
      </c>
      <c r="M31" s="2"/>
      <c r="N31" s="7">
        <f t="shared" si="15"/>
        <v>0.98998108831103659</v>
      </c>
      <c r="O31" s="11"/>
      <c r="P31" s="6">
        <v>1741.22</v>
      </c>
      <c r="Q31" s="2"/>
      <c r="R31" s="7">
        <f t="shared" si="16"/>
        <v>3.0753644623569786E-2</v>
      </c>
      <c r="S31" s="2"/>
      <c r="T31" s="6">
        <v>984.36739499999999</v>
      </c>
      <c r="U31" s="2"/>
      <c r="V31" s="7">
        <f t="shared" si="17"/>
        <v>5.117850655089945E-2</v>
      </c>
      <c r="W31" s="2"/>
      <c r="X31" s="6">
        <f t="shared" si="18"/>
        <v>756.85260500000004</v>
      </c>
      <c r="Y31" s="2"/>
      <c r="Z31" s="7">
        <f t="shared" si="19"/>
        <v>0.76887207849869921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6">
        <v>958.14</v>
      </c>
      <c r="E33" s="2"/>
      <c r="F33" s="7">
        <f t="shared" si="12"/>
        <v>2.59545855701671E-2</v>
      </c>
      <c r="G33" s="2"/>
      <c r="H33" s="6">
        <v>252.58278000000001</v>
      </c>
      <c r="I33" s="2"/>
      <c r="J33" s="7">
        <f t="shared" si="13"/>
        <v>1.9159734506561481E-2</v>
      </c>
      <c r="K33" s="2"/>
      <c r="L33" s="6">
        <f t="shared" si="14"/>
        <v>705.55721999999992</v>
      </c>
      <c r="M33" s="2"/>
      <c r="N33" s="7">
        <f t="shared" si="15"/>
        <v>2.7933702368783804</v>
      </c>
      <c r="O33" s="11"/>
      <c r="P33" s="6">
        <v>1909.2</v>
      </c>
      <c r="Q33" s="2"/>
      <c r="R33" s="7">
        <f t="shared" si="16"/>
        <v>3.3720528316536359E-2</v>
      </c>
      <c r="S33" s="2"/>
      <c r="T33" s="6">
        <v>568.31125499999996</v>
      </c>
      <c r="U33" s="2"/>
      <c r="V33" s="7">
        <f t="shared" si="17"/>
        <v>2.9547221326817093E-2</v>
      </c>
      <c r="W33" s="2"/>
      <c r="X33" s="6">
        <f t="shared" si="18"/>
        <v>1340.8887450000002</v>
      </c>
      <c r="Y33" s="2"/>
      <c r="Z33" s="7">
        <f t="shared" si="19"/>
        <v>2.3594266930363719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6">
        <v>879.66</v>
      </c>
      <c r="E34" s="2"/>
      <c r="F34" s="7">
        <f t="shared" si="12"/>
        <v>2.3828679256322868E-2</v>
      </c>
      <c r="G34" s="2"/>
      <c r="H34" s="6">
        <v>240.43602000000001</v>
      </c>
      <c r="I34" s="2"/>
      <c r="J34" s="7">
        <f t="shared" si="13"/>
        <v>1.8238338769627552E-2</v>
      </c>
      <c r="K34" s="2"/>
      <c r="L34" s="6">
        <f t="shared" si="14"/>
        <v>639.22397999999998</v>
      </c>
      <c r="M34" s="2"/>
      <c r="N34" s="7">
        <f t="shared" si="15"/>
        <v>2.6586032325772151</v>
      </c>
      <c r="O34" s="11"/>
      <c r="P34" s="6">
        <v>1755.63</v>
      </c>
      <c r="Q34" s="2"/>
      <c r="R34" s="7">
        <f t="shared" si="16"/>
        <v>3.100815583928385E-2</v>
      </c>
      <c r="S34" s="2"/>
      <c r="T34" s="6">
        <v>470.60917000000001</v>
      </c>
      <c r="U34" s="2"/>
      <c r="V34" s="7">
        <f t="shared" si="17"/>
        <v>2.4467566288863471E-2</v>
      </c>
      <c r="W34" s="2"/>
      <c r="X34" s="6">
        <f t="shared" si="18"/>
        <v>1285.0208300000002</v>
      </c>
      <c r="Y34" s="2"/>
      <c r="Z34" s="7">
        <f t="shared" si="19"/>
        <v>2.7305477919182919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6">
        <v>484</v>
      </c>
      <c r="E35" s="2"/>
      <c r="F35" s="7">
        <f t="shared" si="12"/>
        <v>1.3110839142464439E-2</v>
      </c>
      <c r="G35" s="2"/>
      <c r="H35" s="6">
        <v>271</v>
      </c>
      <c r="I35" s="2"/>
      <c r="J35" s="7">
        <f t="shared" si="13"/>
        <v>2.0556777668209056E-2</v>
      </c>
      <c r="K35" s="2"/>
      <c r="L35" s="6">
        <f t="shared" si="14"/>
        <v>213</v>
      </c>
      <c r="M35" s="2"/>
      <c r="N35" s="7">
        <f t="shared" si="15"/>
        <v>0.7859778597785978</v>
      </c>
      <c r="O35" s="11"/>
      <c r="P35" s="6">
        <v>979.29</v>
      </c>
      <c r="Q35" s="2"/>
      <c r="R35" s="7">
        <f t="shared" si="16"/>
        <v>1.7296342015032939E-2</v>
      </c>
      <c r="S35" s="2"/>
      <c r="T35" s="6">
        <v>446</v>
      </c>
      <c r="U35" s="2"/>
      <c r="V35" s="7">
        <f t="shared" si="17"/>
        <v>2.3188104398461057E-2</v>
      </c>
      <c r="W35" s="2"/>
      <c r="X35" s="6">
        <f t="shared" si="18"/>
        <v>533.29</v>
      </c>
      <c r="Y35" s="2"/>
      <c r="Z35" s="7">
        <f t="shared" si="19"/>
        <v>1.1957174887892377</v>
      </c>
    </row>
    <row r="36" spans="1:26" s="28" customFormat="1" outlineLevel="1" collapsed="1" x14ac:dyDescent="0.3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20004.48</v>
      </c>
      <c r="E36" s="1"/>
      <c r="F36" s="5">
        <f t="shared" ref="F36:F46" si="20">IF(D$12=0,0,D36/D$12)</f>
        <v>0.54189156902613012</v>
      </c>
      <c r="G36" s="1"/>
      <c r="H36" s="1">
        <f>SUM(OSRRefH22_1x_0)</f>
        <v>15203.2047</v>
      </c>
      <c r="I36" s="1"/>
      <c r="J36" s="5">
        <f t="shared" ref="J36:J46" si="21">IF(H$12=0,0,H36/H$12)</f>
        <v>1.1532431692331033</v>
      </c>
      <c r="K36" s="1"/>
      <c r="L36" s="1">
        <f t="shared" ref="L36:L46" si="22">+D36-H36</f>
        <v>4801.2752999999993</v>
      </c>
      <c r="M36" s="1"/>
      <c r="N36" s="5">
        <f t="shared" ref="N36:N46" si="23">IF(H36=0,0,L36/H36)</f>
        <v>0.31580679170885589</v>
      </c>
      <c r="O36" s="14"/>
      <c r="P36" s="1">
        <f>SUM(OSRRefP22_1x_0)</f>
        <v>37656.11</v>
      </c>
      <c r="Q36" s="1"/>
      <c r="R36" s="5">
        <f t="shared" ref="R36:R46" si="24">IF(P$12=0,0,P36/P$12)</f>
        <v>0.66508690736727838</v>
      </c>
      <c r="S36" s="1"/>
      <c r="T36" s="1">
        <f>SUM(OSRRefT22_1x_0)</f>
        <v>27170.023075000001</v>
      </c>
      <c r="U36" s="1"/>
      <c r="V36" s="5">
        <f t="shared" ref="V36:V46" si="25">IF(T$12=0,0,T36/T$12)</f>
        <v>1.4126038824477489</v>
      </c>
      <c r="W36" s="1"/>
      <c r="X36" s="1">
        <f t="shared" ref="X36:X46" si="26">+P36-T36</f>
        <v>10486.086925</v>
      </c>
      <c r="Y36" s="1"/>
      <c r="Z36" s="5">
        <f t="shared" ref="Z36:Z46" si="27">IF(T36=0,0,X36/T36)</f>
        <v>0.38594324693999177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6">
        <v>9276.15</v>
      </c>
      <c r="E38" s="2"/>
      <c r="F38" s="7">
        <f t="shared" si="20"/>
        <v>0.25127708783341218</v>
      </c>
      <c r="G38" s="2"/>
      <c r="H38" s="6">
        <v>4832.8114999999998</v>
      </c>
      <c r="I38" s="2"/>
      <c r="J38" s="7">
        <f t="shared" si="21"/>
        <v>0.36659421224304028</v>
      </c>
      <c r="K38" s="2"/>
      <c r="L38" s="6">
        <f t="shared" si="22"/>
        <v>4443.3384999999998</v>
      </c>
      <c r="M38" s="2"/>
      <c r="N38" s="7">
        <f t="shared" si="23"/>
        <v>0.91941067844255875</v>
      </c>
      <c r="O38" s="11"/>
      <c r="P38" s="6">
        <v>20738.73</v>
      </c>
      <c r="Q38" s="2"/>
      <c r="R38" s="7">
        <f t="shared" si="24"/>
        <v>0.36629003363398388</v>
      </c>
      <c r="S38" s="2"/>
      <c r="T38" s="6">
        <v>10873.825875</v>
      </c>
      <c r="U38" s="2"/>
      <c r="V38" s="7">
        <f t="shared" si="25"/>
        <v>0.56534396771342421</v>
      </c>
      <c r="W38" s="2"/>
      <c r="X38" s="6">
        <f t="shared" si="26"/>
        <v>9864.9041249999991</v>
      </c>
      <c r="Y38" s="2"/>
      <c r="Z38" s="7">
        <f t="shared" si="27"/>
        <v>0.90721556868777786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6">
        <v>3255.04</v>
      </c>
      <c r="E40" s="2"/>
      <c r="F40" s="7">
        <f t="shared" si="20"/>
        <v>8.8174185624560836E-2</v>
      </c>
      <c r="G40" s="2"/>
      <c r="H40" s="6">
        <v>6268.3932000000004</v>
      </c>
      <c r="I40" s="2"/>
      <c r="J40" s="7">
        <f t="shared" si="21"/>
        <v>0.47549064704543736</v>
      </c>
      <c r="K40" s="2"/>
      <c r="L40" s="6">
        <f t="shared" si="22"/>
        <v>-3013.3532000000005</v>
      </c>
      <c r="M40" s="2"/>
      <c r="N40" s="7">
        <f t="shared" si="23"/>
        <v>-0.48072179007532589</v>
      </c>
      <c r="O40" s="11"/>
      <c r="P40" s="6">
        <v>6250.03</v>
      </c>
      <c r="Q40" s="2"/>
      <c r="R40" s="7">
        <f t="shared" si="24"/>
        <v>0.11038880871265541</v>
      </c>
      <c r="S40" s="2"/>
      <c r="T40" s="6">
        <v>12194.197200000001</v>
      </c>
      <c r="U40" s="2"/>
      <c r="V40" s="7">
        <f t="shared" si="25"/>
        <v>0.63399174378704382</v>
      </c>
      <c r="W40" s="2"/>
      <c r="X40" s="6">
        <f t="shared" si="26"/>
        <v>-5944.1672000000008</v>
      </c>
      <c r="Y40" s="2"/>
      <c r="Z40" s="7">
        <f t="shared" si="27"/>
        <v>-0.48745867419628086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3277.99</v>
      </c>
      <c r="E41" s="2"/>
      <c r="F41" s="7">
        <f t="shared" si="20"/>
        <v>8.8795866943402899E-2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3277.99</v>
      </c>
      <c r="M41" s="2"/>
      <c r="N41" s="7">
        <f t="shared" si="23"/>
        <v>0</v>
      </c>
      <c r="O41" s="11"/>
      <c r="P41" s="6">
        <v>5089.05</v>
      </c>
      <c r="Q41" s="2"/>
      <c r="R41" s="7">
        <f t="shared" si="24"/>
        <v>8.9883435276172929E-2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5089.05</v>
      </c>
      <c r="Y41" s="2"/>
      <c r="Z41" s="7">
        <f t="shared" si="27"/>
        <v>0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6">
        <v>4195.3</v>
      </c>
      <c r="E43" s="2"/>
      <c r="F43" s="7">
        <f t="shared" si="20"/>
        <v>0.11364442862475425</v>
      </c>
      <c r="G43" s="2"/>
      <c r="H43" s="6">
        <v>798</v>
      </c>
      <c r="I43" s="2"/>
      <c r="J43" s="7">
        <f t="shared" si="21"/>
        <v>6.0532503982401578E-2</v>
      </c>
      <c r="K43" s="2"/>
      <c r="L43" s="6">
        <f t="shared" si="22"/>
        <v>3397.3</v>
      </c>
      <c r="M43" s="2"/>
      <c r="N43" s="7">
        <f t="shared" si="23"/>
        <v>4.2572681704260651</v>
      </c>
      <c r="O43" s="11"/>
      <c r="P43" s="6">
        <v>5578.3</v>
      </c>
      <c r="Q43" s="2"/>
      <c r="R43" s="7">
        <f t="shared" si="24"/>
        <v>9.8524629744466144E-2</v>
      </c>
      <c r="S43" s="2"/>
      <c r="T43" s="6">
        <v>798</v>
      </c>
      <c r="U43" s="2"/>
      <c r="V43" s="7">
        <f t="shared" si="25"/>
        <v>4.1489029842986379E-2</v>
      </c>
      <c r="W43" s="2"/>
      <c r="X43" s="6">
        <f t="shared" si="26"/>
        <v>4780.3</v>
      </c>
      <c r="Y43" s="2"/>
      <c r="Z43" s="7">
        <f t="shared" si="27"/>
        <v>5.9903508771929825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3304</v>
      </c>
      <c r="I44" s="2"/>
      <c r="J44" s="7">
        <f t="shared" si="21"/>
        <v>0.25062580596222406</v>
      </c>
      <c r="K44" s="2"/>
      <c r="L44" s="6">
        <f t="shared" si="22"/>
        <v>-3304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3304</v>
      </c>
      <c r="U44" s="2"/>
      <c r="V44" s="7">
        <f t="shared" si="25"/>
        <v>0.17177914110429449</v>
      </c>
      <c r="W44" s="2"/>
      <c r="X44" s="6">
        <f t="shared" si="26"/>
        <v>-3304</v>
      </c>
      <c r="Y44" s="2"/>
      <c r="Z44" s="7">
        <f t="shared" si="27"/>
        <v>-1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8" customFormat="1" outlineLevel="1" collapsed="1" x14ac:dyDescent="0.3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16</v>
      </c>
      <c r="E47" s="1"/>
      <c r="F47" s="5">
        <f t="shared" ref="F47:F55" si="28">IF(D$12=0,0,D47/D$12)</f>
        <v>4.3341616999882437E-4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16</v>
      </c>
      <c r="M47" s="1"/>
      <c r="N47" s="5">
        <f t="shared" ref="N47:N55" si="31">IF(H47=0,0,L47/H47)</f>
        <v>0</v>
      </c>
      <c r="O47" s="14"/>
      <c r="P47" s="1">
        <f>SUM(OSRRefP22_2x_0)</f>
        <v>143.33000000000001</v>
      </c>
      <c r="Q47" s="1"/>
      <c r="R47" s="5">
        <f t="shared" ref="R47:R55" si="32">IF(P$12=0,0,P47/P$12)</f>
        <v>2.531512321186443E-3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143.33000000000001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16</v>
      </c>
      <c r="E48" s="2"/>
      <c r="F48" s="7">
        <f t="shared" si="28"/>
        <v>4.3341616999882437E-4</v>
      </c>
      <c r="G48" s="2"/>
      <c r="H48" s="6"/>
      <c r="I48" s="2"/>
      <c r="J48" s="7">
        <f t="shared" si="29"/>
        <v>0</v>
      </c>
      <c r="K48" s="2"/>
      <c r="L48" s="6">
        <f t="shared" si="30"/>
        <v>16</v>
      </c>
      <c r="M48" s="2"/>
      <c r="N48" s="7">
        <f t="shared" si="31"/>
        <v>0</v>
      </c>
      <c r="O48" s="11"/>
      <c r="P48" s="6">
        <v>143.33000000000001</v>
      </c>
      <c r="Q48" s="2"/>
      <c r="R48" s="7">
        <f t="shared" si="32"/>
        <v>2.531512321186443E-3</v>
      </c>
      <c r="S48" s="2"/>
      <c r="T48" s="6"/>
      <c r="U48" s="2"/>
      <c r="V48" s="7">
        <f t="shared" si="33"/>
        <v>0</v>
      </c>
      <c r="W48" s="2"/>
      <c r="X48" s="6">
        <f t="shared" si="34"/>
        <v>143.33000000000001</v>
      </c>
      <c r="Y48" s="2"/>
      <c r="Z48" s="7">
        <f t="shared" si="35"/>
        <v>0</v>
      </c>
    </row>
    <row r="49" spans="1:26" s="28" customFormat="1" outlineLevel="1" collapsed="1" x14ac:dyDescent="0.3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13.78</v>
      </c>
      <c r="E49" s="1"/>
      <c r="F49" s="5">
        <f t="shared" si="28"/>
        <v>3.7327967641148749E-4</v>
      </c>
      <c r="G49" s="1"/>
      <c r="H49" s="1">
        <f>SUM(OSRRefH22_3x_0)</f>
        <v>10</v>
      </c>
      <c r="I49" s="1"/>
      <c r="J49" s="5">
        <f t="shared" si="29"/>
        <v>7.5855268148372905E-4</v>
      </c>
      <c r="K49" s="1"/>
      <c r="L49" s="1">
        <f t="shared" si="30"/>
        <v>3.7799999999999994</v>
      </c>
      <c r="M49" s="1"/>
      <c r="N49" s="5">
        <f t="shared" si="31"/>
        <v>0.37799999999999995</v>
      </c>
      <c r="O49" s="14"/>
      <c r="P49" s="1">
        <f>SUM(OSRRefP22_3x_0)</f>
        <v>-5.24</v>
      </c>
      <c r="Q49" s="1"/>
      <c r="R49" s="5">
        <f t="shared" si="32"/>
        <v>-9.2549532986931971E-5</v>
      </c>
      <c r="S49" s="1"/>
      <c r="T49" s="1">
        <f>SUM(OSRRefT22_3x_0)</f>
        <v>20</v>
      </c>
      <c r="U49" s="1"/>
      <c r="V49" s="5">
        <f t="shared" si="33"/>
        <v>1.0398253093480295E-3</v>
      </c>
      <c r="W49" s="1"/>
      <c r="X49" s="1">
        <f t="shared" si="34"/>
        <v>-25.240000000000002</v>
      </c>
      <c r="Y49" s="1"/>
      <c r="Z49" s="5">
        <f t="shared" si="35"/>
        <v>-1.262</v>
      </c>
    </row>
    <row r="50" spans="1:26" s="24" customFormat="1" hidden="1" outlineLevel="2" x14ac:dyDescent="0.3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13.78</v>
      </c>
      <c r="E50" s="2"/>
      <c r="F50" s="7">
        <f t="shared" si="28"/>
        <v>3.7327967641148749E-4</v>
      </c>
      <c r="G50" s="2"/>
      <c r="H50" s="6">
        <v>10</v>
      </c>
      <c r="I50" s="2"/>
      <c r="J50" s="7">
        <f t="shared" si="29"/>
        <v>7.5855268148372905E-4</v>
      </c>
      <c r="K50" s="2"/>
      <c r="L50" s="6">
        <f t="shared" si="30"/>
        <v>3.7799999999999994</v>
      </c>
      <c r="M50" s="2"/>
      <c r="N50" s="7">
        <f t="shared" si="31"/>
        <v>0.37799999999999995</v>
      </c>
      <c r="O50" s="11"/>
      <c r="P50" s="6">
        <v>-5.24</v>
      </c>
      <c r="Q50" s="2"/>
      <c r="R50" s="7">
        <f t="shared" si="32"/>
        <v>-9.2549532986931971E-5</v>
      </c>
      <c r="S50" s="2"/>
      <c r="T50" s="6">
        <v>20</v>
      </c>
      <c r="U50" s="2"/>
      <c r="V50" s="7">
        <f t="shared" si="33"/>
        <v>1.0398253093480295E-3</v>
      </c>
      <c r="W50" s="2"/>
      <c r="X50" s="6">
        <f t="shared" si="34"/>
        <v>-25.240000000000002</v>
      </c>
      <c r="Y50" s="2"/>
      <c r="Z50" s="7">
        <f t="shared" si="35"/>
        <v>-1.262</v>
      </c>
    </row>
    <row r="51" spans="1:26" s="28" customFormat="1" outlineLevel="1" collapsed="1" x14ac:dyDescent="0.3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1376.48</v>
      </c>
      <c r="E51" s="1"/>
      <c r="F51" s="5">
        <f t="shared" si="28"/>
        <v>3.7286793104998862E-2</v>
      </c>
      <c r="G51" s="1"/>
      <c r="H51" s="1">
        <f>SUM(OSRRefH22_4x_0)</f>
        <v>661</v>
      </c>
      <c r="I51" s="1"/>
      <c r="J51" s="5">
        <f t="shared" si="29"/>
        <v>5.014033224607449E-2</v>
      </c>
      <c r="K51" s="1"/>
      <c r="L51" s="1">
        <f t="shared" si="30"/>
        <v>715.48</v>
      </c>
      <c r="M51" s="1"/>
      <c r="N51" s="5">
        <f t="shared" si="31"/>
        <v>1.0824205748865356</v>
      </c>
      <c r="O51" s="14"/>
      <c r="P51" s="1">
        <f>SUM(OSRRefP22_4x_0)</f>
        <v>2066.7199999999998</v>
      </c>
      <c r="Q51" s="1"/>
      <c r="R51" s="5">
        <f t="shared" si="32"/>
        <v>3.6502666186021375E-2</v>
      </c>
      <c r="S51" s="1"/>
      <c r="T51" s="1">
        <f>SUM(OSRRefT22_4x_0)</f>
        <v>964</v>
      </c>
      <c r="U51" s="1"/>
      <c r="V51" s="5">
        <f t="shared" si="33"/>
        <v>5.0119579910575023E-2</v>
      </c>
      <c r="W51" s="1"/>
      <c r="X51" s="1">
        <f t="shared" si="34"/>
        <v>1102.7199999999998</v>
      </c>
      <c r="Y51" s="1"/>
      <c r="Z51" s="5">
        <f t="shared" si="35"/>
        <v>1.1439004149377592</v>
      </c>
    </row>
    <row r="52" spans="1:26" s="24" customFormat="1" hidden="1" outlineLevel="2" x14ac:dyDescent="0.3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1376.48</v>
      </c>
      <c r="E52" s="2"/>
      <c r="F52" s="7">
        <f t="shared" si="28"/>
        <v>3.7286793104998862E-2</v>
      </c>
      <c r="G52" s="2"/>
      <c r="H52" s="6">
        <v>661</v>
      </c>
      <c r="I52" s="2"/>
      <c r="J52" s="7">
        <f t="shared" si="29"/>
        <v>5.014033224607449E-2</v>
      </c>
      <c r="K52" s="2"/>
      <c r="L52" s="6">
        <f t="shared" si="30"/>
        <v>715.48</v>
      </c>
      <c r="M52" s="2"/>
      <c r="N52" s="7">
        <f t="shared" si="31"/>
        <v>1.0824205748865356</v>
      </c>
      <c r="O52" s="11"/>
      <c r="P52" s="6">
        <v>2066.7199999999998</v>
      </c>
      <c r="Q52" s="2"/>
      <c r="R52" s="7">
        <f t="shared" si="32"/>
        <v>3.6502666186021375E-2</v>
      </c>
      <c r="S52" s="2"/>
      <c r="T52" s="6">
        <v>964</v>
      </c>
      <c r="U52" s="2"/>
      <c r="V52" s="7">
        <f t="shared" si="33"/>
        <v>5.0119579910575023E-2</v>
      </c>
      <c r="W52" s="2"/>
      <c r="X52" s="6">
        <f t="shared" si="34"/>
        <v>1102.7199999999998</v>
      </c>
      <c r="Y52" s="2"/>
      <c r="Z52" s="7">
        <f t="shared" si="35"/>
        <v>1.1439004149377592</v>
      </c>
    </row>
    <row r="53" spans="1:26" s="28" customFormat="1" outlineLevel="1" collapsed="1" x14ac:dyDescent="0.3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14007.34</v>
      </c>
      <c r="E53" s="1"/>
      <c r="F53" s="5">
        <f t="shared" si="28"/>
        <v>0.37943797841695831</v>
      </c>
      <c r="G53" s="1"/>
      <c r="H53" s="1">
        <f>SUM(OSRRefH22_5x_0)</f>
        <v>13902</v>
      </c>
      <c r="I53" s="1"/>
      <c r="J53" s="5">
        <f t="shared" si="29"/>
        <v>1.0545399377986802</v>
      </c>
      <c r="K53" s="1"/>
      <c r="L53" s="1">
        <f t="shared" si="30"/>
        <v>105.34000000000015</v>
      </c>
      <c r="M53" s="1"/>
      <c r="N53" s="5">
        <f t="shared" si="31"/>
        <v>7.577327003308887E-3</v>
      </c>
      <c r="O53" s="14"/>
      <c r="P53" s="1">
        <f>SUM(OSRRefP22_5x_0)</f>
        <v>28014.68</v>
      </c>
      <c r="Q53" s="1"/>
      <c r="R53" s="5">
        <f t="shared" si="32"/>
        <v>0.49479876923250826</v>
      </c>
      <c r="S53" s="1"/>
      <c r="T53" s="1">
        <f>SUM(OSRRefT22_5x_0)</f>
        <v>27804</v>
      </c>
      <c r="U53" s="1"/>
      <c r="V53" s="5">
        <f t="shared" si="33"/>
        <v>1.4455651450556306</v>
      </c>
      <c r="W53" s="1"/>
      <c r="X53" s="1">
        <f t="shared" si="34"/>
        <v>210.68000000000029</v>
      </c>
      <c r="Y53" s="1"/>
      <c r="Z53" s="5">
        <f t="shared" si="35"/>
        <v>7.577327003308887E-3</v>
      </c>
    </row>
    <row r="54" spans="1:26" s="24" customFormat="1" hidden="1" outlineLevel="2" x14ac:dyDescent="0.3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10597.26</v>
      </c>
      <c r="E54" s="2"/>
      <c r="F54" s="7">
        <f t="shared" si="28"/>
        <v>0.28706399010510886</v>
      </c>
      <c r="G54" s="2"/>
      <c r="H54" s="6"/>
      <c r="I54" s="2"/>
      <c r="J54" s="7">
        <f t="shared" si="29"/>
        <v>0</v>
      </c>
      <c r="K54" s="2"/>
      <c r="L54" s="6">
        <f t="shared" si="30"/>
        <v>10597.26</v>
      </c>
      <c r="M54" s="2"/>
      <c r="N54" s="7">
        <f t="shared" si="31"/>
        <v>0</v>
      </c>
      <c r="O54" s="11"/>
      <c r="P54" s="6">
        <v>21194.52</v>
      </c>
      <c r="Q54" s="2"/>
      <c r="R54" s="7">
        <f t="shared" si="32"/>
        <v>0.37434025341263155</v>
      </c>
      <c r="S54" s="2"/>
      <c r="T54" s="6"/>
      <c r="U54" s="2"/>
      <c r="V54" s="7">
        <f t="shared" si="33"/>
        <v>0</v>
      </c>
      <c r="W54" s="2"/>
      <c r="X54" s="6">
        <f t="shared" si="34"/>
        <v>21194.52</v>
      </c>
      <c r="Y54" s="2"/>
      <c r="Z54" s="7">
        <f t="shared" si="35"/>
        <v>0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3410.08</v>
      </c>
      <c r="E55" s="2"/>
      <c r="F55" s="7">
        <f t="shared" si="28"/>
        <v>9.2373988311849439E-2</v>
      </c>
      <c r="G55" s="2"/>
      <c r="H55" s="6">
        <v>13902</v>
      </c>
      <c r="I55" s="2"/>
      <c r="J55" s="7">
        <f t="shared" si="29"/>
        <v>1.0545399377986802</v>
      </c>
      <c r="K55" s="2"/>
      <c r="L55" s="6">
        <f t="shared" si="30"/>
        <v>-10491.92</v>
      </c>
      <c r="M55" s="2"/>
      <c r="N55" s="7">
        <f t="shared" si="31"/>
        <v>-0.75470579772694579</v>
      </c>
      <c r="O55" s="11"/>
      <c r="P55" s="6">
        <v>6820.16</v>
      </c>
      <c r="Q55" s="2"/>
      <c r="R55" s="7">
        <f t="shared" si="32"/>
        <v>0.1204585158198767</v>
      </c>
      <c r="S55" s="2"/>
      <c r="T55" s="6">
        <v>27804</v>
      </c>
      <c r="U55" s="2"/>
      <c r="V55" s="7">
        <f t="shared" si="33"/>
        <v>1.4455651450556306</v>
      </c>
      <c r="W55" s="2"/>
      <c r="X55" s="6">
        <f t="shared" si="34"/>
        <v>-20983.84</v>
      </c>
      <c r="Y55" s="2"/>
      <c r="Z55" s="7">
        <f t="shared" si="35"/>
        <v>-0.75470579772694579</v>
      </c>
    </row>
    <row r="56" spans="1:26" s="28" customFormat="1" outlineLevel="1" collapsed="1" x14ac:dyDescent="0.3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328.87</v>
      </c>
      <c r="E56" s="1"/>
      <c r="F56" s="5">
        <f t="shared" ref="F56:F66" si="36">IF(D$12=0,0,D56/D$12)</f>
        <v>8.9085984892195869E-3</v>
      </c>
      <c r="G56" s="1"/>
      <c r="H56" s="1">
        <f>SUM(OSRRefH22_6x_0)</f>
        <v>275</v>
      </c>
      <c r="I56" s="1"/>
      <c r="J56" s="5">
        <f t="shared" ref="J56:J66" si="37">IF(H$12=0,0,H56/H$12)</f>
        <v>2.0860198740802548E-2</v>
      </c>
      <c r="K56" s="1"/>
      <c r="L56" s="1">
        <f t="shared" ref="L56:L66" si="38">+D56-H56</f>
        <v>53.870000000000005</v>
      </c>
      <c r="M56" s="1"/>
      <c r="N56" s="5">
        <f t="shared" ref="N56:N66" si="39">IF(H56=0,0,L56/H56)</f>
        <v>0.19589090909090912</v>
      </c>
      <c r="O56" s="14"/>
      <c r="P56" s="1">
        <f>SUM(OSRRefP22_6x_0)</f>
        <v>490.07</v>
      </c>
      <c r="Q56" s="1"/>
      <c r="R56" s="5">
        <f t="shared" ref="R56:R66" si="40">IF(P$12=0,0,P56/P$12)</f>
        <v>8.6556774104781971E-3</v>
      </c>
      <c r="S56" s="1"/>
      <c r="T56" s="1">
        <f>SUM(OSRRefT22_6x_0)</f>
        <v>550</v>
      </c>
      <c r="U56" s="1"/>
      <c r="V56" s="5">
        <f t="shared" ref="V56:V66" si="41">IF(T$12=0,0,T56/T$12)</f>
        <v>2.8595196007070812E-2</v>
      </c>
      <c r="W56" s="1"/>
      <c r="X56" s="1">
        <f t="shared" ref="X56:X66" si="42">+P56-T56</f>
        <v>-59.930000000000007</v>
      </c>
      <c r="Y56" s="1"/>
      <c r="Z56" s="5">
        <f t="shared" ref="Z56:Z66" si="43">IF(T56=0,0,X56/T56)</f>
        <v>-0.10896363636363637</v>
      </c>
    </row>
    <row r="57" spans="1:26" s="24" customFormat="1" hidden="1" outlineLevel="2" x14ac:dyDescent="0.3">
      <c r="A57" s="27"/>
      <c r="B57" s="11" t="str">
        <f>CONCATENATE("          ", "6351", " - ", "EQUIPMENT RENTAL")</f>
        <v xml:space="preserve">          6351 - EQUIPMENT RENTAL</v>
      </c>
      <c r="C57" s="11"/>
      <c r="D57" s="6">
        <v>328.87</v>
      </c>
      <c r="E57" s="2"/>
      <c r="F57" s="7">
        <f t="shared" si="36"/>
        <v>8.9085984892195869E-3</v>
      </c>
      <c r="G57" s="2"/>
      <c r="H57" s="6">
        <v>275</v>
      </c>
      <c r="I57" s="2"/>
      <c r="J57" s="7">
        <f t="shared" si="37"/>
        <v>2.0860198740802548E-2</v>
      </c>
      <c r="K57" s="2"/>
      <c r="L57" s="6">
        <f t="shared" si="38"/>
        <v>53.870000000000005</v>
      </c>
      <c r="M57" s="2"/>
      <c r="N57" s="7">
        <f t="shared" si="39"/>
        <v>0.19589090909090912</v>
      </c>
      <c r="O57" s="11"/>
      <c r="P57" s="6">
        <v>490.07</v>
      </c>
      <c r="Q57" s="2"/>
      <c r="R57" s="7">
        <f t="shared" si="40"/>
        <v>8.6556774104781971E-3</v>
      </c>
      <c r="S57" s="2"/>
      <c r="T57" s="6">
        <v>550</v>
      </c>
      <c r="U57" s="2"/>
      <c r="V57" s="7">
        <f t="shared" si="41"/>
        <v>2.8595196007070812E-2</v>
      </c>
      <c r="W57" s="2"/>
      <c r="X57" s="6">
        <f t="shared" si="42"/>
        <v>-59.930000000000007</v>
      </c>
      <c r="Y57" s="2"/>
      <c r="Z57" s="7">
        <f t="shared" si="43"/>
        <v>-0.10896363636363637</v>
      </c>
    </row>
    <row r="58" spans="1:26" s="28" customFormat="1" outlineLevel="1" collapsed="1" x14ac:dyDescent="0.3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1465.15</v>
      </c>
      <c r="E58" s="1"/>
      <c r="F58" s="5">
        <f t="shared" si="36"/>
        <v>3.9688731342111101E-2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1465.15</v>
      </c>
      <c r="M58" s="1"/>
      <c r="N58" s="5">
        <f t="shared" si="39"/>
        <v>0</v>
      </c>
      <c r="O58" s="14"/>
      <c r="P58" s="1">
        <f>SUM(OSRRefP22_7x_0)</f>
        <v>1507.92</v>
      </c>
      <c r="Q58" s="1"/>
      <c r="R58" s="5">
        <f t="shared" si="40"/>
        <v>2.6633070950697415E-2</v>
      </c>
      <c r="S58" s="1"/>
      <c r="T58" s="1">
        <f>SUM(OSRRefT22_7x_0)</f>
        <v>1335</v>
      </c>
      <c r="U58" s="1"/>
      <c r="V58" s="5">
        <f t="shared" si="41"/>
        <v>6.9408339398980973E-2</v>
      </c>
      <c r="W58" s="1"/>
      <c r="X58" s="1">
        <f t="shared" si="42"/>
        <v>172.92000000000007</v>
      </c>
      <c r="Y58" s="1"/>
      <c r="Z58" s="5">
        <f t="shared" si="43"/>
        <v>0.1295280898876405</v>
      </c>
    </row>
    <row r="59" spans="1:26" s="24" customFormat="1" hidden="1" outlineLevel="2" x14ac:dyDescent="0.3">
      <c r="A59" s="27"/>
      <c r="B59" s="11" t="str">
        <f>CONCATENATE("          ", "6279", " - ", "GENERAL EXPENSE")</f>
        <v xml:space="preserve">          6279 - GENERAL EXPENSE</v>
      </c>
      <c r="C59" s="11"/>
      <c r="D59" s="6">
        <v>1465.15</v>
      </c>
      <c r="E59" s="2"/>
      <c r="F59" s="7">
        <f t="shared" si="36"/>
        <v>3.9688731342111101E-2</v>
      </c>
      <c r="G59" s="2"/>
      <c r="H59" s="6"/>
      <c r="I59" s="2"/>
      <c r="J59" s="7">
        <f t="shared" si="37"/>
        <v>0</v>
      </c>
      <c r="K59" s="2"/>
      <c r="L59" s="6">
        <f t="shared" si="38"/>
        <v>1465.15</v>
      </c>
      <c r="M59" s="2"/>
      <c r="N59" s="7">
        <f t="shared" si="39"/>
        <v>0</v>
      </c>
      <c r="O59" s="11"/>
      <c r="P59" s="6">
        <v>1507.92</v>
      </c>
      <c r="Q59" s="2"/>
      <c r="R59" s="7">
        <f t="shared" si="40"/>
        <v>2.6633070950697415E-2</v>
      </c>
      <c r="S59" s="2"/>
      <c r="T59" s="6">
        <v>1335</v>
      </c>
      <c r="U59" s="2"/>
      <c r="V59" s="7">
        <f t="shared" si="41"/>
        <v>6.9408339398980973E-2</v>
      </c>
      <c r="W59" s="2"/>
      <c r="X59" s="6">
        <f t="shared" si="42"/>
        <v>172.92000000000007</v>
      </c>
      <c r="Y59" s="2"/>
      <c r="Z59" s="7">
        <f t="shared" si="43"/>
        <v>0.1295280898876405</v>
      </c>
    </row>
    <row r="60" spans="1:26" s="28" customFormat="1" outlineLevel="1" collapsed="1" x14ac:dyDescent="0.3">
      <c r="A60" s="29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871.61</v>
      </c>
      <c r="E60" s="1"/>
      <c r="F60" s="5">
        <f t="shared" si="36"/>
        <v>2.361061674579221E-2</v>
      </c>
      <c r="G60" s="1"/>
      <c r="H60" s="1">
        <f>SUM(OSRRefH22_8x_0)</f>
        <v>850</v>
      </c>
      <c r="I60" s="1"/>
      <c r="J60" s="5">
        <f t="shared" si="37"/>
        <v>6.4476977926116966E-2</v>
      </c>
      <c r="K60" s="1"/>
      <c r="L60" s="1">
        <f t="shared" si="38"/>
        <v>21.610000000000014</v>
      </c>
      <c r="M60" s="1"/>
      <c r="N60" s="5">
        <f t="shared" si="39"/>
        <v>2.5423529411764723E-2</v>
      </c>
      <c r="O60" s="14"/>
      <c r="P60" s="1">
        <f>SUM(OSRRefP22_8x_0)</f>
        <v>1743.22</v>
      </c>
      <c r="Q60" s="1"/>
      <c r="R60" s="5">
        <f t="shared" si="40"/>
        <v>3.0788968872801439E-2</v>
      </c>
      <c r="S60" s="1"/>
      <c r="T60" s="1">
        <f>SUM(OSRRefT22_8x_0)</f>
        <v>1700</v>
      </c>
      <c r="U60" s="1"/>
      <c r="V60" s="5">
        <f t="shared" si="41"/>
        <v>8.8385151294582506E-2</v>
      </c>
      <c r="W60" s="1"/>
      <c r="X60" s="1">
        <f t="shared" si="42"/>
        <v>43.220000000000027</v>
      </c>
      <c r="Y60" s="1"/>
      <c r="Z60" s="5">
        <f t="shared" si="43"/>
        <v>2.5423529411764723E-2</v>
      </c>
    </row>
    <row r="61" spans="1:26" s="24" customFormat="1" hidden="1" outlineLevel="2" x14ac:dyDescent="0.3">
      <c r="A61" s="27"/>
      <c r="B61" s="11" t="str">
        <f>CONCATENATE("          ", "6314", " - ", "LIABILITY INSURANCE")</f>
        <v xml:space="preserve">          6314 - LIABILITY INSURANCE</v>
      </c>
      <c r="C61" s="11"/>
      <c r="D61" s="6">
        <v>871.61</v>
      </c>
      <c r="E61" s="2"/>
      <c r="F61" s="7">
        <f t="shared" si="36"/>
        <v>2.361061674579221E-2</v>
      </c>
      <c r="G61" s="2"/>
      <c r="H61" s="6">
        <v>850</v>
      </c>
      <c r="I61" s="2"/>
      <c r="J61" s="7">
        <f t="shared" si="37"/>
        <v>6.4476977926116966E-2</v>
      </c>
      <c r="K61" s="2"/>
      <c r="L61" s="6">
        <f t="shared" si="38"/>
        <v>21.610000000000014</v>
      </c>
      <c r="M61" s="2"/>
      <c r="N61" s="7">
        <f t="shared" si="39"/>
        <v>2.5423529411764723E-2</v>
      </c>
      <c r="O61" s="11"/>
      <c r="P61" s="6">
        <v>1743.22</v>
      </c>
      <c r="Q61" s="2"/>
      <c r="R61" s="7">
        <f t="shared" si="40"/>
        <v>3.0788968872801439E-2</v>
      </c>
      <c r="S61" s="2"/>
      <c r="T61" s="6">
        <v>1700</v>
      </c>
      <c r="U61" s="2"/>
      <c r="V61" s="7">
        <f t="shared" si="41"/>
        <v>8.8385151294582506E-2</v>
      </c>
      <c r="W61" s="2"/>
      <c r="X61" s="6">
        <f t="shared" si="42"/>
        <v>43.220000000000027</v>
      </c>
      <c r="Y61" s="2"/>
      <c r="Z61" s="7">
        <f t="shared" si="43"/>
        <v>2.5423529411764723E-2</v>
      </c>
    </row>
    <row r="62" spans="1:26" s="28" customFormat="1" outlineLevel="1" collapsed="1" x14ac:dyDescent="0.3">
      <c r="A62" s="29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7253</v>
      </c>
      <c r="E62" s="1"/>
      <c r="F62" s="5">
        <f t="shared" si="36"/>
        <v>0.19647296756259208</v>
      </c>
      <c r="G62" s="1"/>
      <c r="H62" s="1">
        <f>SUM(OSRRefH22_9x_0)</f>
        <v>7253</v>
      </c>
      <c r="I62" s="1"/>
      <c r="J62" s="5">
        <f t="shared" si="37"/>
        <v>0.55017825988014868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14506</v>
      </c>
      <c r="Q62" s="1"/>
      <c r="R62" s="5">
        <f t="shared" si="40"/>
        <v>0.25620677967718225</v>
      </c>
      <c r="S62" s="1"/>
      <c r="T62" s="1">
        <f>SUM(OSRRefT22_9x_0)</f>
        <v>14506</v>
      </c>
      <c r="U62" s="1"/>
      <c r="V62" s="5">
        <f t="shared" si="41"/>
        <v>0.75418529687012581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3">
      <c r="A63" s="27"/>
      <c r="B63" s="11" t="str">
        <f>CONCATENATE("          ", "6401", " - ", "INTEREST EXPENSE")</f>
        <v xml:space="preserve">          6401 - INTEREST EXPENSE</v>
      </c>
      <c r="C63" s="11"/>
      <c r="D63" s="6">
        <v>7253</v>
      </c>
      <c r="E63" s="2"/>
      <c r="F63" s="7">
        <f t="shared" si="36"/>
        <v>0.19647296756259208</v>
      </c>
      <c r="G63" s="2"/>
      <c r="H63" s="6">
        <v>7253</v>
      </c>
      <c r="I63" s="2"/>
      <c r="J63" s="7">
        <f t="shared" si="37"/>
        <v>0.55017825988014868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14506</v>
      </c>
      <c r="Q63" s="2"/>
      <c r="R63" s="7">
        <f t="shared" si="40"/>
        <v>0.25620677967718225</v>
      </c>
      <c r="S63" s="2"/>
      <c r="T63" s="6">
        <v>14506</v>
      </c>
      <c r="U63" s="2"/>
      <c r="V63" s="7">
        <f t="shared" si="41"/>
        <v>0.75418529687012581</v>
      </c>
      <c r="W63" s="2"/>
      <c r="X63" s="6">
        <f t="shared" si="42"/>
        <v>0</v>
      </c>
      <c r="Y63" s="2"/>
      <c r="Z63" s="7">
        <f t="shared" si="43"/>
        <v>0</v>
      </c>
    </row>
    <row r="64" spans="1:26" s="28" customFormat="1" outlineLevel="1" collapsed="1" x14ac:dyDescent="0.3">
      <c r="A64" s="29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7690.26</v>
      </c>
      <c r="E64" s="1"/>
      <c r="F64" s="5">
        <f t="shared" si="36"/>
        <v>0.20831768971844747</v>
      </c>
      <c r="G64" s="1"/>
      <c r="H64" s="1">
        <f>SUM(OSRRefH22_10x_0)</f>
        <v>661</v>
      </c>
      <c r="I64" s="1"/>
      <c r="J64" s="5">
        <f t="shared" si="37"/>
        <v>5.014033224607449E-2</v>
      </c>
      <c r="K64" s="1"/>
      <c r="L64" s="1">
        <f t="shared" si="38"/>
        <v>7029.26</v>
      </c>
      <c r="M64" s="1"/>
      <c r="N64" s="5">
        <f t="shared" si="39"/>
        <v>10.634281391830561</v>
      </c>
      <c r="O64" s="14"/>
      <c r="P64" s="1">
        <f>SUM(OSRRefP22_10x_0)</f>
        <v>8862.09</v>
      </c>
      <c r="Q64" s="1"/>
      <c r="R64" s="5">
        <f t="shared" si="40"/>
        <v>0.15652333793667175</v>
      </c>
      <c r="S64" s="1"/>
      <c r="T64" s="1">
        <f>SUM(OSRRefT22_10x_0)</f>
        <v>1878</v>
      </c>
      <c r="U64" s="1"/>
      <c r="V64" s="5">
        <f t="shared" si="41"/>
        <v>9.7639596547779969E-2</v>
      </c>
      <c r="W64" s="1"/>
      <c r="X64" s="1">
        <f t="shared" si="42"/>
        <v>6984.09</v>
      </c>
      <c r="Y64" s="1"/>
      <c r="Z64" s="5">
        <f t="shared" si="43"/>
        <v>3.718897763578275</v>
      </c>
    </row>
    <row r="65" spans="1:26" s="24" customFormat="1" hidden="1" outlineLevel="2" x14ac:dyDescent="0.3">
      <c r="A65" s="27"/>
      <c r="B65" s="11" t="str">
        <f>CONCATENATE("          ", "6373", " - ", "MAINTENANCE CONTRACTS")</f>
        <v xml:space="preserve">          6373 - MAINTENANCE CONTRACTS</v>
      </c>
      <c r="C65" s="11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/>
      <c r="Q65" s="2"/>
      <c r="R65" s="7">
        <f t="shared" si="40"/>
        <v>0</v>
      </c>
      <c r="S65" s="2"/>
      <c r="T65" s="6">
        <v>380</v>
      </c>
      <c r="U65" s="2"/>
      <c r="V65" s="7">
        <f t="shared" si="41"/>
        <v>1.9756680877612561E-2</v>
      </c>
      <c r="W65" s="2"/>
      <c r="X65" s="6">
        <f t="shared" si="42"/>
        <v>-380</v>
      </c>
      <c r="Y65" s="2"/>
      <c r="Z65" s="7">
        <f t="shared" si="43"/>
        <v>-1</v>
      </c>
    </row>
    <row r="66" spans="1:26" s="24" customFormat="1" hidden="1" outlineLevel="2" x14ac:dyDescent="0.3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7690.26</v>
      </c>
      <c r="E66" s="2"/>
      <c r="F66" s="7">
        <f t="shared" si="36"/>
        <v>0.20831768971844747</v>
      </c>
      <c r="G66" s="2"/>
      <c r="H66" s="6">
        <v>661</v>
      </c>
      <c r="I66" s="2"/>
      <c r="J66" s="7">
        <f t="shared" si="37"/>
        <v>5.014033224607449E-2</v>
      </c>
      <c r="K66" s="2"/>
      <c r="L66" s="6">
        <f t="shared" si="38"/>
        <v>7029.26</v>
      </c>
      <c r="M66" s="2"/>
      <c r="N66" s="7">
        <f t="shared" si="39"/>
        <v>10.634281391830561</v>
      </c>
      <c r="O66" s="11"/>
      <c r="P66" s="6">
        <v>8862.09</v>
      </c>
      <c r="Q66" s="2"/>
      <c r="R66" s="7">
        <f t="shared" si="40"/>
        <v>0.15652333793667175</v>
      </c>
      <c r="S66" s="2"/>
      <c r="T66" s="6">
        <v>1498</v>
      </c>
      <c r="U66" s="2"/>
      <c r="V66" s="7">
        <f t="shared" si="41"/>
        <v>7.7882915670167419E-2</v>
      </c>
      <c r="W66" s="2"/>
      <c r="X66" s="6">
        <f t="shared" si="42"/>
        <v>7364.09</v>
      </c>
      <c r="Y66" s="2"/>
      <c r="Z66" s="7">
        <f t="shared" si="43"/>
        <v>4.9159479305740987</v>
      </c>
    </row>
    <row r="67" spans="1:26" s="28" customFormat="1" outlineLevel="1" collapsed="1" x14ac:dyDescent="0.3">
      <c r="A67" s="29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SUM(OSRRefD22_11x_0)</f>
        <v>11409.349999999999</v>
      </c>
      <c r="E67" s="1"/>
      <c r="F67" s="5">
        <f t="shared" ref="F67:F71" si="44">IF(D$12=0,0,D67/D$12)</f>
        <v>0.30906229869850543</v>
      </c>
      <c r="G67" s="1"/>
      <c r="H67" s="1">
        <f>SUM(OSRRefH22_11x_0)</f>
        <v>4857</v>
      </c>
      <c r="I67" s="1"/>
      <c r="J67" s="5">
        <f t="shared" ref="J67:J71" si="45">IF(H$12=0,0,H67/H$12)</f>
        <v>0.36842903739664717</v>
      </c>
      <c r="K67" s="1"/>
      <c r="L67" s="1">
        <f t="shared" ref="L67:L71" si="46">+D67-H67</f>
        <v>6552.3499999999985</v>
      </c>
      <c r="M67" s="1"/>
      <c r="N67" s="5">
        <f t="shared" ref="N67:N71" si="47">IF(H67=0,0,L67/H67)</f>
        <v>1.3490529133209797</v>
      </c>
      <c r="O67" s="14"/>
      <c r="P67" s="1">
        <f>SUM(OSRRefP22_11x_0)</f>
        <v>15328.48</v>
      </c>
      <c r="Q67" s="1"/>
      <c r="R67" s="5">
        <f t="shared" ref="R67:R71" si="48">IF(P$12=0,0,P67/P$12)</f>
        <v>0.27073352393120742</v>
      </c>
      <c r="S67" s="1"/>
      <c r="T67" s="1">
        <f>SUM(OSRRefT22_11x_0)</f>
        <v>9836</v>
      </c>
      <c r="U67" s="1"/>
      <c r="V67" s="5">
        <f t="shared" ref="V67:V71" si="49">IF(T$12=0,0,T67/T$12)</f>
        <v>0.51138608713736089</v>
      </c>
      <c r="W67" s="1"/>
      <c r="X67" s="1">
        <f t="shared" ref="X67:X71" si="50">+P67-T67</f>
        <v>5492.48</v>
      </c>
      <c r="Y67" s="1"/>
      <c r="Z67" s="5">
        <f t="shared" ref="Z67:Z71" si="51">IF(T67=0,0,X67/T67)</f>
        <v>0.55840585603904025</v>
      </c>
    </row>
    <row r="68" spans="1:26" s="24" customFormat="1" hidden="1" outlineLevel="2" x14ac:dyDescent="0.3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351.55</v>
      </c>
      <c r="E68" s="2"/>
      <c r="F68" s="7">
        <f t="shared" si="44"/>
        <v>9.5229659101929206E-3</v>
      </c>
      <c r="G68" s="2"/>
      <c r="H68" s="6">
        <v>328</v>
      </c>
      <c r="I68" s="2"/>
      <c r="J68" s="7">
        <f t="shared" si="45"/>
        <v>2.4880527952666313E-2</v>
      </c>
      <c r="K68" s="2"/>
      <c r="L68" s="6">
        <f t="shared" si="46"/>
        <v>23.550000000000011</v>
      </c>
      <c r="M68" s="2"/>
      <c r="N68" s="7">
        <f t="shared" si="47"/>
        <v>7.1798780487804914E-2</v>
      </c>
      <c r="O68" s="11"/>
      <c r="P68" s="6">
        <v>351.55</v>
      </c>
      <c r="Q68" s="2"/>
      <c r="R68" s="7">
        <f t="shared" si="48"/>
        <v>6.2091199086938805E-3</v>
      </c>
      <c r="S68" s="2"/>
      <c r="T68" s="6">
        <v>656</v>
      </c>
      <c r="U68" s="2"/>
      <c r="V68" s="7">
        <f t="shared" si="49"/>
        <v>3.4106270146615367E-2</v>
      </c>
      <c r="W68" s="2"/>
      <c r="X68" s="6">
        <f t="shared" si="50"/>
        <v>-304.45</v>
      </c>
      <c r="Y68" s="2"/>
      <c r="Z68" s="7">
        <f t="shared" si="51"/>
        <v>-0.46410060975609757</v>
      </c>
    </row>
    <row r="69" spans="1:26" s="24" customFormat="1" hidden="1" outlineLevel="2" x14ac:dyDescent="0.3">
      <c r="A69" s="27"/>
      <c r="B69" s="11" t="str">
        <f>CONCATENATE("          ", "6284", " - ", "TRASH REMOVAL EXPENSE")</f>
        <v xml:space="preserve">          6284 - TRASH REMOVAL EXPENSE</v>
      </c>
      <c r="C69" s="11"/>
      <c r="D69" s="6"/>
      <c r="E69" s="2"/>
      <c r="F69" s="7">
        <f t="shared" si="44"/>
        <v>0</v>
      </c>
      <c r="G69" s="2"/>
      <c r="H69" s="6">
        <v>1000</v>
      </c>
      <c r="I69" s="2"/>
      <c r="J69" s="7">
        <f t="shared" si="45"/>
        <v>7.5855268148372901E-2</v>
      </c>
      <c r="K69" s="2"/>
      <c r="L69" s="6">
        <f t="shared" si="46"/>
        <v>-1000</v>
      </c>
      <c r="M69" s="2"/>
      <c r="N69" s="7">
        <f t="shared" si="47"/>
        <v>-1</v>
      </c>
      <c r="O69" s="11"/>
      <c r="P69" s="6"/>
      <c r="Q69" s="2"/>
      <c r="R69" s="7">
        <f t="shared" si="48"/>
        <v>0</v>
      </c>
      <c r="S69" s="2"/>
      <c r="T69" s="6">
        <v>2000</v>
      </c>
      <c r="U69" s="2"/>
      <c r="V69" s="7">
        <f t="shared" si="49"/>
        <v>0.10398253093480295</v>
      </c>
      <c r="W69" s="2"/>
      <c r="X69" s="6">
        <f t="shared" si="50"/>
        <v>-2000</v>
      </c>
      <c r="Y69" s="2"/>
      <c r="Z69" s="7">
        <f t="shared" si="51"/>
        <v>-1</v>
      </c>
    </row>
    <row r="70" spans="1:26" s="24" customFormat="1" hidden="1" outlineLevel="2" x14ac:dyDescent="0.3">
      <c r="A70" s="27"/>
      <c r="B70" s="11" t="str">
        <f>CONCATENATE("          ", "6285", " - ", "JANITORIAL SERVICES")</f>
        <v xml:space="preserve">          6285 - JANITORIAL SERVICES</v>
      </c>
      <c r="C70" s="11"/>
      <c r="D70" s="6">
        <v>10898.06</v>
      </c>
      <c r="E70" s="2"/>
      <c r="F70" s="7">
        <f t="shared" si="44"/>
        <v>0.29521221410108672</v>
      </c>
      <c r="G70" s="2"/>
      <c r="H70" s="6">
        <v>3041</v>
      </c>
      <c r="I70" s="2"/>
      <c r="J70" s="7">
        <f t="shared" si="45"/>
        <v>0.23067587043920201</v>
      </c>
      <c r="K70" s="2"/>
      <c r="L70" s="6">
        <f t="shared" si="46"/>
        <v>7857.0599999999995</v>
      </c>
      <c r="M70" s="2"/>
      <c r="N70" s="7">
        <f t="shared" si="47"/>
        <v>2.5837093061492928</v>
      </c>
      <c r="O70" s="11"/>
      <c r="P70" s="6">
        <v>14657.45</v>
      </c>
      <c r="Q70" s="2"/>
      <c r="R70" s="7">
        <f t="shared" si="48"/>
        <v>0.25888170845024927</v>
      </c>
      <c r="S70" s="2"/>
      <c r="T70" s="6">
        <v>6082</v>
      </c>
      <c r="U70" s="2"/>
      <c r="V70" s="7">
        <f t="shared" si="49"/>
        <v>0.31621087657273578</v>
      </c>
      <c r="W70" s="2"/>
      <c r="X70" s="6">
        <f t="shared" si="50"/>
        <v>8575.4500000000007</v>
      </c>
      <c r="Y70" s="2"/>
      <c r="Z70" s="7">
        <f t="shared" si="51"/>
        <v>1.4099720486682015</v>
      </c>
    </row>
    <row r="71" spans="1:26" s="24" customFormat="1" hidden="1" outlineLevel="2" x14ac:dyDescent="0.3">
      <c r="A71" s="27"/>
      <c r="B71" s="11" t="str">
        <f>CONCATENATE("          ", "6286", " - ", "LAUNDRY EXPENSE")</f>
        <v xml:space="preserve">          6286 - LAUNDRY EXPENSE</v>
      </c>
      <c r="C71" s="11"/>
      <c r="D71" s="6">
        <v>159.74</v>
      </c>
      <c r="E71" s="2"/>
      <c r="F71" s="7">
        <f t="shared" si="44"/>
        <v>4.3271186872257637E-3</v>
      </c>
      <c r="G71" s="2"/>
      <c r="H71" s="6">
        <v>488</v>
      </c>
      <c r="I71" s="2"/>
      <c r="J71" s="7">
        <f t="shared" si="45"/>
        <v>3.7017370856405975E-2</v>
      </c>
      <c r="K71" s="2"/>
      <c r="L71" s="6">
        <f t="shared" si="46"/>
        <v>-328.26</v>
      </c>
      <c r="M71" s="2"/>
      <c r="N71" s="7">
        <f t="shared" si="47"/>
        <v>-0.67266393442622952</v>
      </c>
      <c r="O71" s="11"/>
      <c r="P71" s="6">
        <v>319.48</v>
      </c>
      <c r="Q71" s="2"/>
      <c r="R71" s="7">
        <f t="shared" si="48"/>
        <v>5.6426955722643181E-3</v>
      </c>
      <c r="S71" s="2"/>
      <c r="T71" s="6">
        <v>1098</v>
      </c>
      <c r="U71" s="2"/>
      <c r="V71" s="7">
        <f t="shared" si="49"/>
        <v>5.7086409483206819E-2</v>
      </c>
      <c r="W71" s="2"/>
      <c r="X71" s="6">
        <f t="shared" si="50"/>
        <v>-778.52</v>
      </c>
      <c r="Y71" s="2"/>
      <c r="Z71" s="7">
        <f t="shared" si="51"/>
        <v>-0.70903460837887067</v>
      </c>
    </row>
    <row r="72" spans="1:26" s="28" customFormat="1" outlineLevel="1" collapsed="1" x14ac:dyDescent="0.3">
      <c r="A72" s="29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SUM(OSRRefD22_12x_0)</f>
        <v>593.59</v>
      </c>
      <c r="E72" s="1"/>
      <c r="F72" s="5">
        <f t="shared" ref="F72:F80" si="52">IF(D$12=0,0,D72/D$12)</f>
        <v>1.6079469021850135E-2</v>
      </c>
      <c r="G72" s="1"/>
      <c r="H72" s="1">
        <f>SUM(OSRRefH22_12x_0)</f>
        <v>380</v>
      </c>
      <c r="I72" s="1"/>
      <c r="J72" s="5">
        <f t="shared" ref="J72:J80" si="53">IF(H$12=0,0,H72/H$12)</f>
        <v>2.8825001896381704E-2</v>
      </c>
      <c r="K72" s="1"/>
      <c r="L72" s="1">
        <f t="shared" ref="L72:L80" si="54">+D72-H72</f>
        <v>213.59000000000003</v>
      </c>
      <c r="M72" s="1"/>
      <c r="N72" s="5">
        <f t="shared" ref="N72:N80" si="55">IF(H72=0,0,L72/H72)</f>
        <v>0.56207894736842112</v>
      </c>
      <c r="O72" s="14"/>
      <c r="P72" s="1">
        <f>SUM(OSRRefP22_12x_0)</f>
        <v>724.26</v>
      </c>
      <c r="Q72" s="1"/>
      <c r="R72" s="5">
        <f t="shared" ref="R72:R80" si="56">IF(P$12=0,0,P72/P$12)</f>
        <v>1.2791970374258653E-2</v>
      </c>
      <c r="S72" s="1"/>
      <c r="T72" s="1">
        <f>SUM(OSRRefT22_12x_0)</f>
        <v>760</v>
      </c>
      <c r="U72" s="1"/>
      <c r="V72" s="5">
        <f t="shared" ref="V72:V80" si="57">IF(T$12=0,0,T72/T$12)</f>
        <v>3.9513361755225122E-2</v>
      </c>
      <c r="W72" s="1"/>
      <c r="X72" s="1">
        <f t="shared" ref="X72:X80" si="58">+P72-T72</f>
        <v>-35.740000000000009</v>
      </c>
      <c r="Y72" s="1"/>
      <c r="Z72" s="5">
        <f t="shared" ref="Z72:Z80" si="59">IF(T72=0,0,X72/T72)</f>
        <v>-4.7026315789473694E-2</v>
      </c>
    </row>
    <row r="73" spans="1:26" s="24" customFormat="1" hidden="1" outlineLevel="2" x14ac:dyDescent="0.3">
      <c r="A73" s="27"/>
      <c r="B73" s="11" t="str">
        <f>CONCATENATE("          ", "6275", " - ", "SUBSCRIPTIONS")</f>
        <v xml:space="preserve">          6275 - SUBSCRIPTIONS</v>
      </c>
      <c r="C73" s="11"/>
      <c r="D73" s="6">
        <v>593.59</v>
      </c>
      <c r="E73" s="2"/>
      <c r="F73" s="7">
        <f t="shared" si="52"/>
        <v>1.6079469021850135E-2</v>
      </c>
      <c r="G73" s="2"/>
      <c r="H73" s="6">
        <v>380</v>
      </c>
      <c r="I73" s="2"/>
      <c r="J73" s="7">
        <f t="shared" si="53"/>
        <v>2.8825001896381704E-2</v>
      </c>
      <c r="K73" s="2"/>
      <c r="L73" s="6">
        <f t="shared" si="54"/>
        <v>213.59000000000003</v>
      </c>
      <c r="M73" s="2"/>
      <c r="N73" s="7">
        <f t="shared" si="55"/>
        <v>0.56207894736842112</v>
      </c>
      <c r="O73" s="11"/>
      <c r="P73" s="6">
        <v>724.26</v>
      </c>
      <c r="Q73" s="2"/>
      <c r="R73" s="7">
        <f t="shared" si="56"/>
        <v>1.2791970374258653E-2</v>
      </c>
      <c r="S73" s="2"/>
      <c r="T73" s="6">
        <v>760</v>
      </c>
      <c r="U73" s="2"/>
      <c r="V73" s="7">
        <f t="shared" si="57"/>
        <v>3.9513361755225122E-2</v>
      </c>
      <c r="W73" s="2"/>
      <c r="X73" s="6">
        <f t="shared" si="58"/>
        <v>-35.740000000000009</v>
      </c>
      <c r="Y73" s="2"/>
      <c r="Z73" s="7">
        <f t="shared" si="59"/>
        <v>-4.7026315789473694E-2</v>
      </c>
    </row>
    <row r="74" spans="1:26" s="28" customFormat="1" outlineLevel="1" collapsed="1" x14ac:dyDescent="0.3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1112.1500000000001</v>
      </c>
      <c r="E74" s="1"/>
      <c r="F74" s="5">
        <f t="shared" si="52"/>
        <v>3.0126487091512038E-2</v>
      </c>
      <c r="G74" s="1"/>
      <c r="H74" s="1">
        <f>SUM(OSRRefH22_13x_0)</f>
        <v>5204</v>
      </c>
      <c r="I74" s="1"/>
      <c r="J74" s="5">
        <f t="shared" si="53"/>
        <v>0.3947508154441326</v>
      </c>
      <c r="K74" s="1"/>
      <c r="L74" s="1">
        <f t="shared" si="54"/>
        <v>-4091.85</v>
      </c>
      <c r="M74" s="1"/>
      <c r="N74" s="5">
        <f t="shared" si="55"/>
        <v>-0.7862893927747886</v>
      </c>
      <c r="O74" s="14"/>
      <c r="P74" s="1">
        <f>SUM(OSRRefP22_13x_0)</f>
        <v>2320.73</v>
      </c>
      <c r="Q74" s="1"/>
      <c r="R74" s="5">
        <f t="shared" si="56"/>
        <v>4.0989022459687524E-2</v>
      </c>
      <c r="S74" s="1"/>
      <c r="T74" s="1">
        <f>SUM(OSRRefT22_13x_0)</f>
        <v>6193</v>
      </c>
      <c r="U74" s="1"/>
      <c r="V74" s="5">
        <f t="shared" si="57"/>
        <v>0.32198190703961732</v>
      </c>
      <c r="W74" s="1"/>
      <c r="X74" s="1">
        <f t="shared" si="58"/>
        <v>-3872.27</v>
      </c>
      <c r="Y74" s="1"/>
      <c r="Z74" s="5">
        <f t="shared" si="59"/>
        <v>-0.62526562247699013</v>
      </c>
    </row>
    <row r="75" spans="1:26" s="24" customFormat="1" hidden="1" outlineLevel="2" x14ac:dyDescent="0.3">
      <c r="A75" s="27"/>
      <c r="B75" s="11" t="str">
        <f>CONCATENATE("          ", "6237", " - ", "JANITORIAL SUPPLIES")</f>
        <v xml:space="preserve">          6237 - JANITORIAL SUPPLIES</v>
      </c>
      <c r="C75" s="11"/>
      <c r="D75" s="6">
        <v>200.36</v>
      </c>
      <c r="E75" s="2"/>
      <c r="F75" s="7">
        <f t="shared" si="52"/>
        <v>5.4274539888102789E-3</v>
      </c>
      <c r="G75" s="2"/>
      <c r="H75" s="6">
        <v>719</v>
      </c>
      <c r="I75" s="2"/>
      <c r="J75" s="7">
        <f t="shared" si="53"/>
        <v>5.4539937798680119E-2</v>
      </c>
      <c r="K75" s="2"/>
      <c r="L75" s="6">
        <f t="shared" si="54"/>
        <v>-518.64</v>
      </c>
      <c r="M75" s="2"/>
      <c r="N75" s="7">
        <f t="shared" si="55"/>
        <v>-0.72133518776077887</v>
      </c>
      <c r="O75" s="11"/>
      <c r="P75" s="6">
        <v>1202.53</v>
      </c>
      <c r="Q75" s="2"/>
      <c r="R75" s="7">
        <f t="shared" si="56"/>
        <v>2.1239234714270094E-2</v>
      </c>
      <c r="S75" s="2"/>
      <c r="T75" s="6">
        <v>1242</v>
      </c>
      <c r="U75" s="2"/>
      <c r="V75" s="7">
        <f t="shared" si="57"/>
        <v>6.457315171051263E-2</v>
      </c>
      <c r="W75" s="2"/>
      <c r="X75" s="6">
        <f t="shared" si="58"/>
        <v>-39.470000000000027</v>
      </c>
      <c r="Y75" s="2"/>
      <c r="Z75" s="7">
        <f t="shared" si="59"/>
        <v>-3.1779388083735934E-2</v>
      </c>
    </row>
    <row r="76" spans="1:26" s="24" customFormat="1" hidden="1" outlineLevel="2" x14ac:dyDescent="0.3">
      <c r="A76" s="27"/>
      <c r="B76" s="11" t="str">
        <f>CONCATENATE("          ", "6239", " - ", "KITCHEN SUPPLIES")</f>
        <v xml:space="preserve">          6239 - KITCHEN SUPPLIES</v>
      </c>
      <c r="C76" s="11"/>
      <c r="D76" s="6">
        <v>148.97999999999999</v>
      </c>
      <c r="E76" s="2"/>
      <c r="F76" s="7">
        <f t="shared" si="52"/>
        <v>4.0356463129015531E-3</v>
      </c>
      <c r="G76" s="2"/>
      <c r="H76" s="6">
        <v>73</v>
      </c>
      <c r="I76" s="2"/>
      <c r="J76" s="7">
        <f t="shared" si="53"/>
        <v>5.5374345748312216E-3</v>
      </c>
      <c r="K76" s="2"/>
      <c r="L76" s="6">
        <f t="shared" si="54"/>
        <v>75.97999999999999</v>
      </c>
      <c r="M76" s="2"/>
      <c r="N76" s="7">
        <f t="shared" si="55"/>
        <v>1.040821917808219</v>
      </c>
      <c r="O76" s="11"/>
      <c r="P76" s="6">
        <v>181.01</v>
      </c>
      <c r="Q76" s="2"/>
      <c r="R76" s="7">
        <f t="shared" si="56"/>
        <v>3.1970211767107927E-3</v>
      </c>
      <c r="S76" s="2"/>
      <c r="T76" s="6">
        <v>136</v>
      </c>
      <c r="U76" s="2"/>
      <c r="V76" s="7">
        <f t="shared" si="57"/>
        <v>7.0708121035666007E-3</v>
      </c>
      <c r="W76" s="2"/>
      <c r="X76" s="6">
        <f t="shared" si="58"/>
        <v>45.009999999999991</v>
      </c>
      <c r="Y76" s="2"/>
      <c r="Z76" s="7">
        <f t="shared" si="59"/>
        <v>0.3309558823529411</v>
      </c>
    </row>
    <row r="77" spans="1:26" s="24" customFormat="1" hidden="1" outlineLevel="2" x14ac:dyDescent="0.3">
      <c r="A77" s="27"/>
      <c r="B77" s="11" t="str">
        <f>CONCATENATE("          ", "6241", " - ", "OFFICE EXPENSE")</f>
        <v xml:space="preserve">          6241 - OFFICE EXPENSE</v>
      </c>
      <c r="C77" s="11"/>
      <c r="D77" s="6">
        <v>441.96</v>
      </c>
      <c r="E77" s="2"/>
      <c r="F77" s="7">
        <f t="shared" si="52"/>
        <v>1.1972038155792526E-2</v>
      </c>
      <c r="G77" s="2"/>
      <c r="H77" s="6">
        <v>2500</v>
      </c>
      <c r="I77" s="2"/>
      <c r="J77" s="7">
        <f t="shared" si="53"/>
        <v>0.18963817037093225</v>
      </c>
      <c r="K77" s="2"/>
      <c r="L77" s="6">
        <f t="shared" si="54"/>
        <v>-2058.04</v>
      </c>
      <c r="M77" s="2"/>
      <c r="N77" s="7">
        <f t="shared" si="55"/>
        <v>-0.82321599999999995</v>
      </c>
      <c r="O77" s="11"/>
      <c r="P77" s="6">
        <v>450.96</v>
      </c>
      <c r="Q77" s="2"/>
      <c r="R77" s="7">
        <f t="shared" si="56"/>
        <v>7.9649117167532139E-3</v>
      </c>
      <c r="S77" s="2"/>
      <c r="T77" s="6">
        <v>2544</v>
      </c>
      <c r="U77" s="2"/>
      <c r="V77" s="7">
        <f t="shared" si="57"/>
        <v>0.13226577934906936</v>
      </c>
      <c r="W77" s="2"/>
      <c r="X77" s="6">
        <f t="shared" si="58"/>
        <v>-2093.04</v>
      </c>
      <c r="Y77" s="2"/>
      <c r="Z77" s="7">
        <f t="shared" si="59"/>
        <v>-0.8227358490566038</v>
      </c>
    </row>
    <row r="78" spans="1:26" s="24" customFormat="1" hidden="1" outlineLevel="2" x14ac:dyDescent="0.3">
      <c r="A78" s="27"/>
      <c r="B78" s="11" t="str">
        <f>CONCATENATE("          ", "6243", " - ", "PAPER SUPPLIES")</f>
        <v xml:space="preserve">          6243 - PAPER SUPPLIES</v>
      </c>
      <c r="C78" s="11"/>
      <c r="D78" s="6">
        <v>320.85000000000002</v>
      </c>
      <c r="E78" s="2"/>
      <c r="F78" s="7">
        <f t="shared" si="52"/>
        <v>8.691348634007676E-3</v>
      </c>
      <c r="G78" s="2"/>
      <c r="H78" s="6">
        <v>501</v>
      </c>
      <c r="I78" s="2"/>
      <c r="J78" s="7">
        <f t="shared" si="53"/>
        <v>3.8003489342334829E-2</v>
      </c>
      <c r="K78" s="2"/>
      <c r="L78" s="6">
        <f t="shared" si="54"/>
        <v>-180.14999999999998</v>
      </c>
      <c r="M78" s="2"/>
      <c r="N78" s="7">
        <f t="shared" si="55"/>
        <v>-0.35958083832335325</v>
      </c>
      <c r="O78" s="11"/>
      <c r="P78" s="6">
        <v>486.23</v>
      </c>
      <c r="Q78" s="2"/>
      <c r="R78" s="7">
        <f t="shared" si="56"/>
        <v>8.5878548519534217E-3</v>
      </c>
      <c r="S78" s="2"/>
      <c r="T78" s="6">
        <v>860</v>
      </c>
      <c r="U78" s="2"/>
      <c r="V78" s="7">
        <f t="shared" si="57"/>
        <v>4.4712488301965267E-2</v>
      </c>
      <c r="W78" s="2"/>
      <c r="X78" s="6">
        <f t="shared" si="58"/>
        <v>-373.77</v>
      </c>
      <c r="Y78" s="2"/>
      <c r="Z78" s="7">
        <f t="shared" si="59"/>
        <v>-0.43461627906976741</v>
      </c>
    </row>
    <row r="79" spans="1:26" s="24" customFormat="1" hidden="1" outlineLevel="2" x14ac:dyDescent="0.3">
      <c r="A79" s="27"/>
      <c r="B79" s="11" t="str">
        <f>CONCATENATE("          ", "6247", " - ", "STORE SUPPLIES")</f>
        <v xml:space="preserve">          6247 - STORE SUPPLIES</v>
      </c>
      <c r="C79" s="11"/>
      <c r="D79" s="6"/>
      <c r="E79" s="2"/>
      <c r="F79" s="7">
        <f t="shared" si="52"/>
        <v>0</v>
      </c>
      <c r="G79" s="2"/>
      <c r="H79" s="6">
        <v>411</v>
      </c>
      <c r="I79" s="2"/>
      <c r="J79" s="7">
        <f t="shared" si="53"/>
        <v>3.1176515208981265E-2</v>
      </c>
      <c r="K79" s="2"/>
      <c r="L79" s="6">
        <f t="shared" si="54"/>
        <v>-411</v>
      </c>
      <c r="M79" s="2"/>
      <c r="N79" s="7">
        <f t="shared" si="55"/>
        <v>-1</v>
      </c>
      <c r="O79" s="11"/>
      <c r="P79" s="6"/>
      <c r="Q79" s="2"/>
      <c r="R79" s="7">
        <f t="shared" si="56"/>
        <v>0</v>
      </c>
      <c r="S79" s="2"/>
      <c r="T79" s="6">
        <v>411</v>
      </c>
      <c r="U79" s="2"/>
      <c r="V79" s="7">
        <f t="shared" si="57"/>
        <v>2.1368410107102005E-2</v>
      </c>
      <c r="W79" s="2"/>
      <c r="X79" s="6">
        <f t="shared" si="58"/>
        <v>-411</v>
      </c>
      <c r="Y79" s="2"/>
      <c r="Z79" s="7">
        <f t="shared" si="59"/>
        <v>-1</v>
      </c>
    </row>
    <row r="80" spans="1:26" s="24" customFormat="1" hidden="1" outlineLevel="2" x14ac:dyDescent="0.3">
      <c r="A80" s="27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52"/>
        <v>0</v>
      </c>
      <c r="G80" s="2"/>
      <c r="H80" s="6">
        <v>1000</v>
      </c>
      <c r="I80" s="2"/>
      <c r="J80" s="7">
        <f t="shared" si="53"/>
        <v>7.5855268148372901E-2</v>
      </c>
      <c r="K80" s="2"/>
      <c r="L80" s="6">
        <f t="shared" si="54"/>
        <v>-1000</v>
      </c>
      <c r="M80" s="2"/>
      <c r="N80" s="7">
        <f t="shared" si="55"/>
        <v>-1</v>
      </c>
      <c r="O80" s="11"/>
      <c r="P80" s="6"/>
      <c r="Q80" s="2"/>
      <c r="R80" s="7">
        <f t="shared" si="56"/>
        <v>0</v>
      </c>
      <c r="S80" s="2"/>
      <c r="T80" s="6">
        <v>1000</v>
      </c>
      <c r="U80" s="2"/>
      <c r="V80" s="7">
        <f t="shared" si="57"/>
        <v>5.1991265467401473E-2</v>
      </c>
      <c r="W80" s="2"/>
      <c r="X80" s="6">
        <f t="shared" si="58"/>
        <v>-1000</v>
      </c>
      <c r="Y80" s="2"/>
      <c r="Z80" s="7">
        <f t="shared" si="59"/>
        <v>-1</v>
      </c>
    </row>
    <row r="81" spans="1:26" s="28" customFormat="1" outlineLevel="1" collapsed="1" x14ac:dyDescent="0.3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SUM(OSRRefD22_14x_0)</f>
        <v>232</v>
      </c>
      <c r="E81" s="1"/>
      <c r="F81" s="5">
        <f t="shared" ref="F81:F83" si="60">IF(D$12=0,0,D81/D$12)</f>
        <v>6.2845344649829537E-3</v>
      </c>
      <c r="G81" s="1"/>
      <c r="H81" s="1">
        <f>SUM(OSRRefH22_14x_0)</f>
        <v>135</v>
      </c>
      <c r="I81" s="1"/>
      <c r="J81" s="5">
        <f t="shared" ref="J81:J83" si="61">IF(H$12=0,0,H81/H$12)</f>
        <v>1.0240461200030342E-2</v>
      </c>
      <c r="K81" s="1"/>
      <c r="L81" s="1">
        <f t="shared" ref="L81:L83" si="62">+D81-H81</f>
        <v>97</v>
      </c>
      <c r="M81" s="1"/>
      <c r="N81" s="5">
        <f t="shared" ref="N81:N83" si="63">IF(H81=0,0,L81/H81)</f>
        <v>0.71851851851851856</v>
      </c>
      <c r="O81" s="14"/>
      <c r="P81" s="1">
        <f>SUM(OSRRefP22_14x_0)</f>
        <v>539</v>
      </c>
      <c r="Q81" s="1"/>
      <c r="R81" s="5">
        <f t="shared" ref="R81:R83" si="64">IF(P$12=0,0,P81/P$12)</f>
        <v>9.519885167930597E-3</v>
      </c>
      <c r="S81" s="1"/>
      <c r="T81" s="1">
        <f>SUM(OSRRefT22_14x_0)</f>
        <v>270</v>
      </c>
      <c r="U81" s="1"/>
      <c r="V81" s="5">
        <f t="shared" ref="V81:V83" si="65">IF(T$12=0,0,T81/T$12)</f>
        <v>1.4037641676198399E-2</v>
      </c>
      <c r="W81" s="1"/>
      <c r="X81" s="1">
        <f t="shared" ref="X81:X83" si="66">+P81-T81</f>
        <v>269</v>
      </c>
      <c r="Y81" s="1"/>
      <c r="Z81" s="5">
        <f t="shared" ref="Z81:Z83" si="67">IF(T81=0,0,X81/T81)</f>
        <v>0.99629629629629635</v>
      </c>
    </row>
    <row r="82" spans="1:26" s="24" customFormat="1" hidden="1" outlineLevel="2" x14ac:dyDescent="0.3">
      <c r="A82" s="27"/>
      <c r="B82" s="11" t="str">
        <f>CONCATENATE("          ", "6303", " - ", "DATA PHONE LINES")</f>
        <v xml:space="preserve">          6303 - DATA PHONE LINES</v>
      </c>
      <c r="C82" s="11"/>
      <c r="D82" s="6"/>
      <c r="E82" s="2"/>
      <c r="F82" s="7">
        <f t="shared" si="60"/>
        <v>0</v>
      </c>
      <c r="G82" s="2"/>
      <c r="H82" s="6">
        <v>60</v>
      </c>
      <c r="I82" s="2"/>
      <c r="J82" s="7">
        <f t="shared" si="61"/>
        <v>4.5513160889023739E-3</v>
      </c>
      <c r="K82" s="2"/>
      <c r="L82" s="6">
        <f t="shared" si="62"/>
        <v>-60</v>
      </c>
      <c r="M82" s="2"/>
      <c r="N82" s="7">
        <f t="shared" si="63"/>
        <v>-1</v>
      </c>
      <c r="O82" s="11"/>
      <c r="P82" s="6"/>
      <c r="Q82" s="2"/>
      <c r="R82" s="7">
        <f t="shared" si="64"/>
        <v>0</v>
      </c>
      <c r="S82" s="2"/>
      <c r="T82" s="6">
        <v>120</v>
      </c>
      <c r="U82" s="2"/>
      <c r="V82" s="7">
        <f t="shared" si="65"/>
        <v>6.2389518560881773E-3</v>
      </c>
      <c r="W82" s="2"/>
      <c r="X82" s="6">
        <f t="shared" si="66"/>
        <v>-120</v>
      </c>
      <c r="Y82" s="2"/>
      <c r="Z82" s="7">
        <f t="shared" si="67"/>
        <v>-1</v>
      </c>
    </row>
    <row r="83" spans="1:26" s="24" customFormat="1" hidden="1" outlineLevel="2" x14ac:dyDescent="0.3">
      <c r="A83" s="27"/>
      <c r="B83" s="11" t="str">
        <f>CONCATENATE("          ", "6309", " - ", "TELEPHONE")</f>
        <v xml:space="preserve">          6309 - TELEPHONE</v>
      </c>
      <c r="C83" s="11"/>
      <c r="D83" s="6">
        <v>232</v>
      </c>
      <c r="E83" s="2"/>
      <c r="F83" s="7">
        <f t="shared" si="60"/>
        <v>6.2845344649829537E-3</v>
      </c>
      <c r="G83" s="2"/>
      <c r="H83" s="6">
        <v>75</v>
      </c>
      <c r="I83" s="2"/>
      <c r="J83" s="7">
        <f t="shared" si="61"/>
        <v>5.6891451111279676E-3</v>
      </c>
      <c r="K83" s="2"/>
      <c r="L83" s="6">
        <f t="shared" si="62"/>
        <v>157</v>
      </c>
      <c r="M83" s="2"/>
      <c r="N83" s="7">
        <f t="shared" si="63"/>
        <v>2.0933333333333333</v>
      </c>
      <c r="O83" s="11"/>
      <c r="P83" s="6">
        <v>539</v>
      </c>
      <c r="Q83" s="2"/>
      <c r="R83" s="7">
        <f t="shared" si="64"/>
        <v>9.519885167930597E-3</v>
      </c>
      <c r="S83" s="2"/>
      <c r="T83" s="6">
        <v>150</v>
      </c>
      <c r="U83" s="2"/>
      <c r="V83" s="7">
        <f t="shared" si="65"/>
        <v>7.7986898201102212E-3</v>
      </c>
      <c r="W83" s="2"/>
      <c r="X83" s="6">
        <f t="shared" si="66"/>
        <v>389</v>
      </c>
      <c r="Y83" s="2"/>
      <c r="Z83" s="7">
        <f t="shared" si="67"/>
        <v>2.5933333333333333</v>
      </c>
    </row>
    <row r="84" spans="1:26" s="28" customFormat="1" outlineLevel="1" collapsed="1" x14ac:dyDescent="0.3">
      <c r="A84" s="29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SUM(OSRRefD22_15x_0)</f>
        <v>0</v>
      </c>
      <c r="E84" s="1"/>
      <c r="F84" s="5">
        <f t="shared" ref="F84:F87" si="68">IF(D$12=0,0,D84/D$12)</f>
        <v>0</v>
      </c>
      <c r="G84" s="1"/>
      <c r="H84" s="1">
        <f>SUM(OSRRefH22_15x_0)</f>
        <v>280</v>
      </c>
      <c r="I84" s="1"/>
      <c r="J84" s="5">
        <f t="shared" ref="J84:J87" si="69">IF(H$12=0,0,H84/H$12)</f>
        <v>2.1239475081544414E-2</v>
      </c>
      <c r="K84" s="1"/>
      <c r="L84" s="1">
        <f t="shared" ref="L84:L87" si="70">+D84-H84</f>
        <v>-280</v>
      </c>
      <c r="M84" s="1"/>
      <c r="N84" s="5">
        <f t="shared" ref="N84:N87" si="71">IF(H84=0,0,L84/H84)</f>
        <v>-1</v>
      </c>
      <c r="O84" s="14"/>
      <c r="P84" s="1">
        <f>SUM(OSRRefP22_15x_0)</f>
        <v>0</v>
      </c>
      <c r="Q84" s="1"/>
      <c r="R84" s="5">
        <f t="shared" ref="R84:R87" si="72">IF(P$12=0,0,P84/P$12)</f>
        <v>0</v>
      </c>
      <c r="S84" s="1"/>
      <c r="T84" s="1">
        <f>SUM(OSRRefT22_15x_0)</f>
        <v>400</v>
      </c>
      <c r="U84" s="1"/>
      <c r="V84" s="5">
        <f t="shared" ref="V84:V87" si="73">IF(T$12=0,0,T84/T$12)</f>
        <v>2.0796506186960592E-2</v>
      </c>
      <c r="W84" s="1"/>
      <c r="X84" s="1">
        <f t="shared" ref="X84:X87" si="74">+P84-T84</f>
        <v>-400</v>
      </c>
      <c r="Y84" s="1"/>
      <c r="Z84" s="5">
        <f t="shared" ref="Z84:Z87" si="75">IF(T84=0,0,X84/T84)</f>
        <v>-1</v>
      </c>
    </row>
    <row r="85" spans="1:26" s="24" customFormat="1" hidden="1" outlineLevel="2" x14ac:dyDescent="0.3">
      <c r="A85" s="27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68"/>
        <v>0</v>
      </c>
      <c r="G85" s="2"/>
      <c r="H85" s="6">
        <v>280</v>
      </c>
      <c r="I85" s="2"/>
      <c r="J85" s="7">
        <f t="shared" si="69"/>
        <v>2.1239475081544414E-2</v>
      </c>
      <c r="K85" s="2"/>
      <c r="L85" s="6">
        <f t="shared" si="70"/>
        <v>-280</v>
      </c>
      <c r="M85" s="2"/>
      <c r="N85" s="7">
        <f t="shared" si="71"/>
        <v>-1</v>
      </c>
      <c r="O85" s="11"/>
      <c r="P85" s="6"/>
      <c r="Q85" s="2"/>
      <c r="R85" s="7">
        <f t="shared" si="72"/>
        <v>0</v>
      </c>
      <c r="S85" s="2"/>
      <c r="T85" s="6">
        <v>400</v>
      </c>
      <c r="U85" s="2"/>
      <c r="V85" s="7">
        <f t="shared" si="73"/>
        <v>2.0796506186960592E-2</v>
      </c>
      <c r="W85" s="2"/>
      <c r="X85" s="6">
        <f t="shared" si="74"/>
        <v>-400</v>
      </c>
      <c r="Y85" s="2"/>
      <c r="Z85" s="7">
        <f t="shared" si="75"/>
        <v>-1</v>
      </c>
    </row>
    <row r="86" spans="1:26" s="28" customFormat="1" outlineLevel="1" collapsed="1" x14ac:dyDescent="0.3">
      <c r="A86" s="29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SUM(OSRRefD22_16x_0)</f>
        <v>2400</v>
      </c>
      <c r="E86" s="1"/>
      <c r="F86" s="5">
        <f t="shared" si="68"/>
        <v>6.5012425499823653E-2</v>
      </c>
      <c r="G86" s="1"/>
      <c r="H86" s="1">
        <f>SUM(OSRRefH22_16x_0)</f>
        <v>2417</v>
      </c>
      <c r="I86" s="1"/>
      <c r="J86" s="5">
        <f t="shared" si="69"/>
        <v>0.18334218311461731</v>
      </c>
      <c r="K86" s="1"/>
      <c r="L86" s="1">
        <f t="shared" si="70"/>
        <v>-17</v>
      </c>
      <c r="M86" s="1"/>
      <c r="N86" s="5">
        <f t="shared" si="71"/>
        <v>-7.0335126189491103E-3</v>
      </c>
      <c r="O86" s="14"/>
      <c r="P86" s="1">
        <f>SUM(OSRRefP22_16x_0)</f>
        <v>4800</v>
      </c>
      <c r="Q86" s="1"/>
      <c r="R86" s="5">
        <f t="shared" si="72"/>
        <v>8.477819815596821E-2</v>
      </c>
      <c r="S86" s="1"/>
      <c r="T86" s="1">
        <f>SUM(OSRRefT22_16x_0)</f>
        <v>4834</v>
      </c>
      <c r="U86" s="1"/>
      <c r="V86" s="5">
        <f t="shared" si="73"/>
        <v>0.25132577726941874</v>
      </c>
      <c r="W86" s="1"/>
      <c r="X86" s="1">
        <f t="shared" si="74"/>
        <v>-34</v>
      </c>
      <c r="Y86" s="1"/>
      <c r="Z86" s="5">
        <f t="shared" si="75"/>
        <v>-7.0335126189491103E-3</v>
      </c>
    </row>
    <row r="87" spans="1:26" s="24" customFormat="1" hidden="1" outlineLevel="2" x14ac:dyDescent="0.3">
      <c r="A87" s="27"/>
      <c r="B87" s="11" t="str">
        <f>CONCATENATE("          ", "6274", " - ", "UTILITIES")</f>
        <v xml:space="preserve">          6274 - UTILITIES</v>
      </c>
      <c r="C87" s="11"/>
      <c r="D87" s="6">
        <v>2400</v>
      </c>
      <c r="E87" s="2"/>
      <c r="F87" s="7">
        <f t="shared" si="68"/>
        <v>6.5012425499823653E-2</v>
      </c>
      <c r="G87" s="2"/>
      <c r="H87" s="6">
        <v>2417</v>
      </c>
      <c r="I87" s="2"/>
      <c r="J87" s="7">
        <f t="shared" si="69"/>
        <v>0.18334218311461731</v>
      </c>
      <c r="K87" s="2"/>
      <c r="L87" s="6">
        <f t="shared" si="70"/>
        <v>-17</v>
      </c>
      <c r="M87" s="2"/>
      <c r="N87" s="7">
        <f t="shared" si="71"/>
        <v>-7.0335126189491103E-3</v>
      </c>
      <c r="O87" s="11"/>
      <c r="P87" s="6">
        <v>4800</v>
      </c>
      <c r="Q87" s="2"/>
      <c r="R87" s="7">
        <f t="shared" si="72"/>
        <v>8.477819815596821E-2</v>
      </c>
      <c r="S87" s="2"/>
      <c r="T87" s="6">
        <v>4834</v>
      </c>
      <c r="U87" s="2"/>
      <c r="V87" s="7">
        <f t="shared" si="73"/>
        <v>0.25132577726941874</v>
      </c>
      <c r="W87" s="2"/>
      <c r="X87" s="6">
        <f t="shared" si="74"/>
        <v>-34</v>
      </c>
      <c r="Y87" s="2"/>
      <c r="Z87" s="7">
        <f t="shared" si="75"/>
        <v>-7.0335126189491103E-3</v>
      </c>
    </row>
    <row r="88" spans="1:26" s="53" customFormat="1" x14ac:dyDescent="0.3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3">
      <c r="A89" s="10"/>
      <c r="B89" s="25" t="s">
        <v>293</v>
      </c>
      <c r="C89" s="10"/>
      <c r="D89" s="4">
        <f>SUM(OSRRefD25x_0)</f>
        <v>0</v>
      </c>
      <c r="E89" s="4"/>
      <c r="F89" s="12">
        <f t="shared" ref="F89:F90" si="76">IF(D$12=0,0,D89/D$12)</f>
        <v>0</v>
      </c>
      <c r="G89" s="4"/>
      <c r="H89" s="4">
        <f>SUM(OSRRefH25x_0)</f>
        <v>0</v>
      </c>
      <c r="I89" s="4"/>
      <c r="J89" s="12">
        <f t="shared" ref="J89:J90" si="77">IF(H$12=0,0,H89/H$12)</f>
        <v>0</v>
      </c>
      <c r="K89" s="4"/>
      <c r="L89" s="4">
        <f t="shared" ref="L89:L90" si="78">+D89-H89</f>
        <v>0</v>
      </c>
      <c r="M89" s="4"/>
      <c r="N89" s="12">
        <f t="shared" ref="N89:N90" si="79">IF(H89=0,0,L89/H89)</f>
        <v>0</v>
      </c>
      <c r="O89" s="10"/>
      <c r="P89" s="4">
        <f>SUM(OSRRefP25x_0)</f>
        <v>2.33</v>
      </c>
      <c r="Q89" s="4"/>
      <c r="R89" s="12">
        <f t="shared" ref="R89:R90" si="80">IF(P$12=0,0,P89/P$12)</f>
        <v>4.1152750354876237E-5</v>
      </c>
      <c r="S89" s="4"/>
      <c r="T89" s="4">
        <f>SUM(OSRRefT25x_0)</f>
        <v>0</v>
      </c>
      <c r="U89" s="4"/>
      <c r="V89" s="12">
        <f t="shared" ref="V89:V90" si="81">IF(T$12=0,0,T89/T$12)</f>
        <v>0</v>
      </c>
      <c r="W89" s="4"/>
      <c r="X89" s="4">
        <f t="shared" ref="X89:X90" si="82">+P89-T89</f>
        <v>2.33</v>
      </c>
      <c r="Y89" s="4"/>
      <c r="Z89" s="12">
        <f t="shared" ref="Z89:Z90" si="83">IF(T89=0,0,X89/T89)</f>
        <v>0</v>
      </c>
    </row>
    <row r="90" spans="1:26" s="24" customFormat="1" hidden="1" outlineLevel="1" x14ac:dyDescent="0.3">
      <c r="A90" s="44"/>
      <c r="B90" s="11" t="str">
        <f>CONCATENATE("          ", "9150", " - ", "MISC. INCOME")</f>
        <v xml:space="preserve">          9150 - MISC. INCOME</v>
      </c>
      <c r="C90" s="11"/>
      <c r="D90" s="2">
        <f>0</f>
        <v>0</v>
      </c>
      <c r="E90" s="2"/>
      <c r="F90" s="19">
        <f t="shared" si="76"/>
        <v>0</v>
      </c>
      <c r="G90" s="2"/>
      <c r="H90" s="2"/>
      <c r="I90" s="2"/>
      <c r="J90" s="19">
        <f t="shared" si="77"/>
        <v>0</v>
      </c>
      <c r="K90" s="2"/>
      <c r="L90" s="2">
        <f t="shared" si="78"/>
        <v>0</v>
      </c>
      <c r="M90" s="2"/>
      <c r="N90" s="19">
        <f t="shared" si="79"/>
        <v>0</v>
      </c>
      <c r="O90" s="11"/>
      <c r="P90" s="2">
        <f>--2.33</f>
        <v>2.33</v>
      </c>
      <c r="Q90" s="2"/>
      <c r="R90" s="19">
        <f t="shared" si="80"/>
        <v>4.1152750354876237E-5</v>
      </c>
      <c r="S90" s="2"/>
      <c r="T90" s="2"/>
      <c r="U90" s="2"/>
      <c r="V90" s="19">
        <f t="shared" si="81"/>
        <v>0</v>
      </c>
      <c r="W90" s="2"/>
      <c r="X90" s="2">
        <f t="shared" si="82"/>
        <v>2.33</v>
      </c>
      <c r="Y90" s="2"/>
      <c r="Z90" s="19">
        <f t="shared" si="83"/>
        <v>0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10"/>
      <c r="B92" s="26" t="s">
        <v>277</v>
      </c>
      <c r="C92" s="26"/>
      <c r="D92" s="21">
        <f>+D23-D25+D89</f>
        <v>-51299.930000000022</v>
      </c>
      <c r="E92" s="13"/>
      <c r="F92" s="20">
        <f>IF(D$12=0,0,D92/D$12)</f>
        <v>-1.3896386988629876</v>
      </c>
      <c r="G92" s="13"/>
      <c r="H92" s="21">
        <f>+H23-H25+H89</f>
        <v>-50486.473306203079</v>
      </c>
      <c r="I92" s="13"/>
      <c r="J92" s="20">
        <f>IF(H$12=0,0,H92/H$12)</f>
        <v>-3.8296649705077055</v>
      </c>
      <c r="K92" s="16"/>
      <c r="L92" s="21">
        <f>+D92-H92</f>
        <v>-813.456693796943</v>
      </c>
      <c r="M92" s="16"/>
      <c r="N92" s="20">
        <f>IF(H92=0,0,L92/H92)</f>
        <v>1.6112369126345703E-2</v>
      </c>
      <c r="O92" s="25"/>
      <c r="P92" s="21">
        <f>+P23-P25+P89</f>
        <v>-97710.540000000023</v>
      </c>
      <c r="Q92" s="13"/>
      <c r="R92" s="20">
        <f>IF(P$12=0,0,P92/P$12)</f>
        <v>-1.7257757337597208</v>
      </c>
      <c r="S92" s="13"/>
      <c r="T92" s="21">
        <f>+T23-T25+T89</f>
        <v>-99848.031004581935</v>
      </c>
      <c r="U92" s="13"/>
      <c r="V92" s="20">
        <f>IF(T$12=0,0,T92/T$12)</f>
        <v>-5.1912254863565526</v>
      </c>
      <c r="W92" s="16"/>
      <c r="X92" s="21">
        <f>+P92-T92</f>
        <v>2137.4910045819124</v>
      </c>
      <c r="Y92" s="16"/>
      <c r="Z92" s="20">
        <f>IF(T92=0,0,X92/T92)</f>
        <v>-2.1407442721467638E-2</v>
      </c>
    </row>
    <row r="93" spans="1:26" x14ac:dyDescent="0.3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">
      <c r="A94" s="52"/>
      <c r="B94" s="10" t="s">
        <v>128</v>
      </c>
      <c r="C94" s="10"/>
      <c r="D94" s="4">
        <v>-641.74</v>
      </c>
      <c r="E94" s="4"/>
      <c r="F94" s="12">
        <f>IF(D$12=0,0,D94/D$12)</f>
        <v>-1.7383780808440347E-2</v>
      </c>
      <c r="G94" s="4"/>
      <c r="H94" s="4">
        <v>-37</v>
      </c>
      <c r="I94" s="4"/>
      <c r="J94" s="12">
        <f>IF(H$12=0,0,H94/H$12)</f>
        <v>-2.8066449214897973E-3</v>
      </c>
      <c r="K94" s="4"/>
      <c r="L94" s="4">
        <f>+D94-H94</f>
        <v>-604.74</v>
      </c>
      <c r="M94" s="4"/>
      <c r="N94" s="12">
        <f>IF(H94=0,0,L94/H94)</f>
        <v>16.344324324324326</v>
      </c>
      <c r="O94" s="10"/>
      <c r="P94" s="4">
        <v>8460.65</v>
      </c>
      <c r="Q94" s="4"/>
      <c r="R94" s="12">
        <f>IF(P$12=0,0,P94/P$12)</f>
        <v>0.14943305463089426</v>
      </c>
      <c r="S94" s="4"/>
      <c r="T94" s="4">
        <v>2154</v>
      </c>
      <c r="U94" s="4"/>
      <c r="V94" s="12">
        <f>IF(T$12=0,0,T94/T$12)</f>
        <v>0.11198918581678279</v>
      </c>
      <c r="W94" s="4"/>
      <c r="X94" s="4">
        <f>+P94-T94</f>
        <v>6306.65</v>
      </c>
      <c r="Y94" s="4"/>
      <c r="Z94" s="12">
        <f>IF(T94=0,0,X94/T94)</f>
        <v>2.9278783658310119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126</v>
      </c>
      <c r="C96" s="26"/>
      <c r="D96" s="30">
        <f>+D92-D94</f>
        <v>-50658.190000000024</v>
      </c>
      <c r="E96" s="13"/>
      <c r="F96" s="35">
        <f>IF(D$12=0,0,D96/D$12)</f>
        <v>-1.3722549180545474</v>
      </c>
      <c r="G96" s="13"/>
      <c r="H96" s="30">
        <f>+H92-H94</f>
        <v>-50449.473306203079</v>
      </c>
      <c r="I96" s="13"/>
      <c r="J96" s="35">
        <f>IF(H$12=0,0,H96/H$12)</f>
        <v>-3.8268583255862154</v>
      </c>
      <c r="K96" s="16"/>
      <c r="L96" s="30">
        <f>D96-H96</f>
        <v>-208.71669379694504</v>
      </c>
      <c r="M96" s="16"/>
      <c r="N96" s="35">
        <f>IF(H96=0,0,L96/H96)</f>
        <v>4.1371431675835159E-3</v>
      </c>
      <c r="O96" s="25"/>
      <c r="P96" s="30">
        <f>+P92-P94</f>
        <v>-106171.19000000002</v>
      </c>
      <c r="Q96" s="13"/>
      <c r="R96" s="35">
        <f>IF(P$12=0,0,P96/P$12)</f>
        <v>-1.875208788390615</v>
      </c>
      <c r="S96" s="13"/>
      <c r="T96" s="30">
        <f>+T92-T94</f>
        <v>-102002.03100458194</v>
      </c>
      <c r="U96" s="13"/>
      <c r="V96" s="35">
        <f>IF(T$12=0,0,T96/T$12)</f>
        <v>-5.3032146721733353</v>
      </c>
      <c r="W96" s="16"/>
      <c r="X96" s="30">
        <f>P96-T96</f>
        <v>-4169.1589954180818</v>
      </c>
      <c r="Y96" s="16"/>
      <c r="Z96" s="35">
        <f>IF(T96=0,0,X96/T96)</f>
        <v>4.0873293936968792E-2</v>
      </c>
    </row>
    <row r="97" spans="1:26" ht="15" thickTop="1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6" t="s">
        <v>294</v>
      </c>
      <c r="C99" s="26"/>
      <c r="D99" s="32">
        <f>SUM(D96:D98)</f>
        <v>-50658.190000000024</v>
      </c>
      <c r="E99" s="13"/>
      <c r="F99" s="34">
        <f>IF(D$12=0,0,D99/D$12)</f>
        <v>-1.3722549180545474</v>
      </c>
      <c r="G99" s="13"/>
      <c r="H99" s="32">
        <f>SUM(H96:H98)</f>
        <v>-50449.473306203079</v>
      </c>
      <c r="I99" s="13"/>
      <c r="J99" s="34">
        <f>IF(H$12=0,0,H99/H$12)</f>
        <v>-3.8268583255862154</v>
      </c>
      <c r="K99" s="16"/>
      <c r="L99" s="32">
        <f>+D99-H99</f>
        <v>-208.71669379694504</v>
      </c>
      <c r="M99" s="16"/>
      <c r="N99" s="34">
        <f>IF(H99=0,0,L99/H99)</f>
        <v>4.1371431675835159E-3</v>
      </c>
      <c r="O99" s="25"/>
      <c r="P99" s="32">
        <f>SUM(P96:P98)</f>
        <v>-106171.19000000002</v>
      </c>
      <c r="Q99" s="13"/>
      <c r="R99" s="34">
        <f>IF(P$12=0,0,P99/P$12)</f>
        <v>-1.875208788390615</v>
      </c>
      <c r="S99" s="13"/>
      <c r="T99" s="32">
        <f>SUM(T96:T98)</f>
        <v>-102002.03100458194</v>
      </c>
      <c r="U99" s="13"/>
      <c r="V99" s="34">
        <f>IF(T$12=0,0,T99/T$12)</f>
        <v>-5.3032146721733353</v>
      </c>
      <c r="W99" s="16"/>
      <c r="X99" s="32">
        <f>+P99-T99</f>
        <v>-4169.1589954180818</v>
      </c>
      <c r="Y99" s="16"/>
      <c r="Z99" s="34">
        <f>IF(T99=0,0,X99/T99)</f>
        <v>4.0873293936968792E-2</v>
      </c>
    </row>
    <row r="100" spans="1:26" ht="15" thickTop="1" x14ac:dyDescent="0.3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3">
      <c r="A101" s="9"/>
      <c r="B101" s="61">
        <v>44470.835499687499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3">
      <c r="A102" s="9"/>
      <c r="B102" s="58" t="s">
        <v>56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3">
      <c r="A103" s="9"/>
      <c r="B103" s="55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3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","418", " - ", "Nugget")</f>
        <v>Department 418 - Nugget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23813</v>
      </c>
      <c r="I12" s="4"/>
      <c r="J12" s="12"/>
      <c r="K12" s="4"/>
      <c r="L12" s="4">
        <f t="shared" ref="L12:L14" si="0">+D12-H12</f>
        <v>-23813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26277</v>
      </c>
      <c r="U12" s="4"/>
      <c r="V12" s="12"/>
      <c r="W12" s="4"/>
      <c r="X12" s="4">
        <f t="shared" ref="X12:X14" si="2">+P12-T12</f>
        <v>-26277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8501</v>
      </c>
      <c r="I13" s="2"/>
      <c r="J13" s="19"/>
      <c r="K13" s="2"/>
      <c r="L13" s="2">
        <f t="shared" si="0"/>
        <v>-8501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9381</v>
      </c>
      <c r="U13" s="2"/>
      <c r="V13" s="19"/>
      <c r="W13" s="2"/>
      <c r="X13" s="2">
        <f t="shared" si="2"/>
        <v>-9381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15312</v>
      </c>
      <c r="I14" s="2"/>
      <c r="J14" s="19"/>
      <c r="K14" s="2"/>
      <c r="L14" s="2">
        <f t="shared" si="0"/>
        <v>-15312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16896</v>
      </c>
      <c r="U14" s="2"/>
      <c r="V14" s="19"/>
      <c r="W14" s="2"/>
      <c r="X14" s="2">
        <f t="shared" si="2"/>
        <v>-16896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-710.88</v>
      </c>
      <c r="E16" s="4"/>
      <c r="F16" s="12">
        <f t="shared" ref="F16:F18" si="6">IF(D$12=0,0,D16/D$12)</f>
        <v>0</v>
      </c>
      <c r="G16" s="4"/>
      <c r="H16" s="4">
        <f>SUM(OSRRefH16x_0)</f>
        <v>9049</v>
      </c>
      <c r="I16" s="4"/>
      <c r="J16" s="12">
        <f t="shared" ref="J16:J18" si="7">IF(H$12=0,0,H16/H$12)</f>
        <v>0.38000251963213372</v>
      </c>
      <c r="K16" s="4"/>
      <c r="L16" s="4">
        <f t="shared" ref="L16:L18" si="8">+D16-H16</f>
        <v>-9759.8799999999992</v>
      </c>
      <c r="M16" s="4"/>
      <c r="N16" s="12">
        <f t="shared" ref="N16:N18" si="9">IF(H16=0,0,L16/H16)</f>
        <v>-1.0785589567908056</v>
      </c>
      <c r="O16" s="10"/>
      <c r="P16" s="4">
        <f>SUM(OSRRefP16x_0)</f>
        <v>-710.88</v>
      </c>
      <c r="Q16" s="4"/>
      <c r="R16" s="12">
        <f t="shared" ref="R16:R18" si="10">IF(P$12=0,0,P16/P$12)</f>
        <v>0</v>
      </c>
      <c r="S16" s="4"/>
      <c r="T16" s="4">
        <f>SUM(OSRRefT16x_0)</f>
        <v>9999</v>
      </c>
      <c r="U16" s="4"/>
      <c r="V16" s="12">
        <f t="shared" ref="V16:V18" si="11">IF(T$12=0,0,T16/T$12)</f>
        <v>0.38052289074095219</v>
      </c>
      <c r="W16" s="4"/>
      <c r="X16" s="4">
        <f t="shared" ref="X16:X18" si="12">+P16-T16</f>
        <v>-10709.88</v>
      </c>
      <c r="Y16" s="4"/>
      <c r="Z16" s="12">
        <f t="shared" ref="Z16:Z18" si="13">IF(T16=0,0,X16/T16)</f>
        <v>-1.0710951095109511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9049</v>
      </c>
      <c r="I17" s="2"/>
      <c r="J17" s="19">
        <f t="shared" si="7"/>
        <v>0.38000251963213372</v>
      </c>
      <c r="K17" s="2"/>
      <c r="L17" s="2">
        <f t="shared" si="8"/>
        <v>-9049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9999</v>
      </c>
      <c r="U17" s="2"/>
      <c r="V17" s="19">
        <f t="shared" si="11"/>
        <v>0.38052289074095219</v>
      </c>
      <c r="W17" s="2"/>
      <c r="X17" s="2">
        <f t="shared" si="12"/>
        <v>-9999</v>
      </c>
      <c r="Y17" s="2"/>
      <c r="Z17" s="19">
        <f t="shared" si="13"/>
        <v>-1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-710.88</v>
      </c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-710.88</v>
      </c>
      <c r="M18" s="2"/>
      <c r="N18" s="19">
        <f t="shared" si="9"/>
        <v>0</v>
      </c>
      <c r="O18" s="11"/>
      <c r="P18" s="2">
        <v>-710.88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-710.88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108</v>
      </c>
      <c r="C20" s="26"/>
      <c r="D20" s="21">
        <f>D12-D16</f>
        <v>710.88</v>
      </c>
      <c r="E20" s="13"/>
      <c r="F20" s="20">
        <f>IF(D$12=0,0,D20/D$12)</f>
        <v>0</v>
      </c>
      <c r="G20" s="13"/>
      <c r="H20" s="21">
        <f>H12-H16</f>
        <v>14764</v>
      </c>
      <c r="I20" s="13"/>
      <c r="J20" s="20">
        <f>IF(H$12=0,0,H20/H$12)</f>
        <v>0.61999748036786628</v>
      </c>
      <c r="K20" s="16"/>
      <c r="L20" s="21">
        <f>+D20-H20</f>
        <v>-14053.12</v>
      </c>
      <c r="M20" s="16"/>
      <c r="N20" s="20">
        <f>IF(H20=0,0,L20/H20)</f>
        <v>-0.95185044703332433</v>
      </c>
      <c r="O20" s="25"/>
      <c r="P20" s="21">
        <f>P12-P16</f>
        <v>710.88</v>
      </c>
      <c r="Q20" s="13"/>
      <c r="R20" s="20">
        <f>IF(P$12=0,0,P20/P$12)</f>
        <v>0</v>
      </c>
      <c r="S20" s="13"/>
      <c r="T20" s="21">
        <f>T12-T16</f>
        <v>16278</v>
      </c>
      <c r="U20" s="13"/>
      <c r="V20" s="20">
        <f>IF(T$12=0,0,T20/T$12)</f>
        <v>0.61947710925904786</v>
      </c>
      <c r="W20" s="16"/>
      <c r="X20" s="21">
        <f>+P20-T20</f>
        <v>-15567.12</v>
      </c>
      <c r="Y20" s="16"/>
      <c r="Z20" s="20">
        <f>IF(T20=0,0,X20/T20)</f>
        <v>-0.95632878732030968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295</v>
      </c>
      <c r="C22" s="10"/>
      <c r="D22" s="22">
        <f>SUM(OSRRefD22x_0)</f>
        <v>25441.589999999997</v>
      </c>
      <c r="E22" s="22"/>
      <c r="F22" s="31">
        <f t="shared" ref="F22:F32" si="14">IF(D$12=0,0,D22/D$12)</f>
        <v>0</v>
      </c>
      <c r="G22" s="22"/>
      <c r="H22" s="22">
        <f>SUM(OSRRefH22x_0)</f>
        <v>35984.144581538458</v>
      </c>
      <c r="I22" s="22"/>
      <c r="J22" s="31">
        <f t="shared" ref="J22:J32" si="15">IF(H$12=0,0,H22/H$12)</f>
        <v>1.5111134498609355</v>
      </c>
      <c r="K22" s="4"/>
      <c r="L22" s="22">
        <f t="shared" ref="L22:L32" si="16">+D22-H22</f>
        <v>-10542.554581538461</v>
      </c>
      <c r="M22" s="4"/>
      <c r="N22" s="31">
        <f t="shared" ref="N22:N32" si="17">IF(H22=0,0,L22/H22)</f>
        <v>-0.29297777407628811</v>
      </c>
      <c r="O22" s="10"/>
      <c r="P22" s="22">
        <f>SUM(OSRRefP22x_0)</f>
        <v>47202.890000000007</v>
      </c>
      <c r="Q22" s="22"/>
      <c r="R22" s="31">
        <f t="shared" ref="R22:R32" si="18">IF(P$12=0,0,P22/P$12)</f>
        <v>0</v>
      </c>
      <c r="S22" s="22"/>
      <c r="T22" s="22">
        <f>SUM(OSRRefT22x_0)</f>
        <v>79203.120126153794</v>
      </c>
      <c r="U22" s="22"/>
      <c r="V22" s="31">
        <f t="shared" ref="V22:V32" si="19">IF(T$12=0,0,T22/T$12)</f>
        <v>3.0141614387545683</v>
      </c>
      <c r="W22" s="4"/>
      <c r="X22" s="22">
        <f t="shared" ref="X22:X32" si="20">+P22-T22</f>
        <v>-32000.230126153787</v>
      </c>
      <c r="Y22" s="4"/>
      <c r="Z22" s="31">
        <f t="shared" ref="Z22:Z32" si="21">IF(T22=0,0,X22/T22)</f>
        <v>-0.40402739279947808</v>
      </c>
    </row>
    <row r="23" spans="1:26" s="28" customFormat="1" outlineLevel="1" collapsed="1" x14ac:dyDescent="0.3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5331.76</v>
      </c>
      <c r="E23" s="1"/>
      <c r="F23" s="5">
        <f t="shared" si="14"/>
        <v>0</v>
      </c>
      <c r="G23" s="1"/>
      <c r="H23" s="1">
        <f>SUM(OSRRefH22_0x_0)</f>
        <v>8271.4445815384606</v>
      </c>
      <c r="I23" s="1"/>
      <c r="J23" s="5">
        <f t="shared" si="15"/>
        <v>0.34734995933055307</v>
      </c>
      <c r="K23" s="1"/>
      <c r="L23" s="1">
        <f t="shared" si="16"/>
        <v>-2939.6845815384604</v>
      </c>
      <c r="M23" s="1"/>
      <c r="N23" s="5">
        <f t="shared" si="17"/>
        <v>-0.35540159310257857</v>
      </c>
      <c r="O23" s="14"/>
      <c r="P23" s="1">
        <f>SUM(OSRRefP22_0x_0)</f>
        <v>10339.790000000001</v>
      </c>
      <c r="Q23" s="1"/>
      <c r="R23" s="5">
        <f t="shared" si="18"/>
        <v>0</v>
      </c>
      <c r="S23" s="1"/>
      <c r="T23" s="1">
        <f>SUM(OSRRefT22_0x_0)</f>
        <v>16054.020126153799</v>
      </c>
      <c r="U23" s="1"/>
      <c r="V23" s="5">
        <f t="shared" si="19"/>
        <v>0.61095330997274422</v>
      </c>
      <c r="W23" s="1"/>
      <c r="X23" s="1">
        <f t="shared" si="20"/>
        <v>-5714.2301261537978</v>
      </c>
      <c r="Y23" s="1"/>
      <c r="Z23" s="5">
        <f t="shared" si="21"/>
        <v>-0.35593764560221747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6">
        <v>702.48</v>
      </c>
      <c r="E24" s="2"/>
      <c r="F24" s="7">
        <f t="shared" si="14"/>
        <v>0</v>
      </c>
      <c r="G24" s="2"/>
      <c r="H24" s="6">
        <v>765.60612000000003</v>
      </c>
      <c r="I24" s="2"/>
      <c r="J24" s="7">
        <f t="shared" si="15"/>
        <v>3.2150763028597824E-2</v>
      </c>
      <c r="K24" s="2"/>
      <c r="L24" s="6">
        <f t="shared" si="16"/>
        <v>-63.126120000000014</v>
      </c>
      <c r="M24" s="2"/>
      <c r="N24" s="7">
        <f t="shared" si="17"/>
        <v>-8.2452475693376132E-2</v>
      </c>
      <c r="O24" s="11"/>
      <c r="P24" s="6">
        <v>1215.45</v>
      </c>
      <c r="Q24" s="2"/>
      <c r="R24" s="7">
        <f t="shared" si="18"/>
        <v>0</v>
      </c>
      <c r="S24" s="2"/>
      <c r="T24" s="6">
        <v>1459.8862799999999</v>
      </c>
      <c r="U24" s="2"/>
      <c r="V24" s="7">
        <f t="shared" si="19"/>
        <v>5.5557570498915396E-2</v>
      </c>
      <c r="W24" s="2"/>
      <c r="X24" s="6">
        <f t="shared" si="20"/>
        <v>-244.4362799999999</v>
      </c>
      <c r="Y24" s="2"/>
      <c r="Z24" s="7">
        <f t="shared" si="21"/>
        <v>-0.16743515118177554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341.54</v>
      </c>
      <c r="E25" s="2"/>
      <c r="F25" s="7">
        <f t="shared" si="14"/>
        <v>0</v>
      </c>
      <c r="G25" s="2"/>
      <c r="H25" s="6">
        <v>577.97500000000002</v>
      </c>
      <c r="I25" s="2"/>
      <c r="J25" s="7">
        <f t="shared" si="15"/>
        <v>2.4271406374669298E-2</v>
      </c>
      <c r="K25" s="2"/>
      <c r="L25" s="6">
        <f t="shared" si="16"/>
        <v>-236.435</v>
      </c>
      <c r="M25" s="2"/>
      <c r="N25" s="7">
        <f t="shared" si="17"/>
        <v>-0.40907478697175481</v>
      </c>
      <c r="O25" s="11"/>
      <c r="P25" s="6">
        <v>582.13</v>
      </c>
      <c r="Q25" s="2"/>
      <c r="R25" s="7">
        <f t="shared" si="18"/>
        <v>0</v>
      </c>
      <c r="S25" s="2"/>
      <c r="T25" s="6">
        <v>921.80380000000002</v>
      </c>
      <c r="U25" s="2"/>
      <c r="V25" s="7">
        <f t="shared" si="19"/>
        <v>3.50802526924687E-2</v>
      </c>
      <c r="W25" s="2"/>
      <c r="X25" s="6">
        <f t="shared" si="20"/>
        <v>-339.67380000000003</v>
      </c>
      <c r="Y25" s="2"/>
      <c r="Z25" s="7">
        <f t="shared" si="21"/>
        <v>-0.36848817503247439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6">
        <v>3353.46</v>
      </c>
      <c r="E26" s="2"/>
      <c r="F26" s="7">
        <f t="shared" si="14"/>
        <v>0</v>
      </c>
      <c r="G26" s="2"/>
      <c r="H26" s="6">
        <v>4925.5384615384601</v>
      </c>
      <c r="I26" s="2"/>
      <c r="J26" s="7">
        <f t="shared" si="15"/>
        <v>0.2068424163918221</v>
      </c>
      <c r="K26" s="2"/>
      <c r="L26" s="6">
        <f t="shared" si="16"/>
        <v>-1572.07846153846</v>
      </c>
      <c r="M26" s="2"/>
      <c r="N26" s="7">
        <f t="shared" si="17"/>
        <v>-0.31916885307346304</v>
      </c>
      <c r="O26" s="11"/>
      <c r="P26" s="6">
        <v>6706.92</v>
      </c>
      <c r="Q26" s="2"/>
      <c r="R26" s="7">
        <f t="shared" si="18"/>
        <v>0</v>
      </c>
      <c r="S26" s="2"/>
      <c r="T26" s="6">
        <v>10097.353846153799</v>
      </c>
      <c r="U26" s="2"/>
      <c r="V26" s="7">
        <f t="shared" si="19"/>
        <v>0.38426585402267377</v>
      </c>
      <c r="W26" s="2"/>
      <c r="X26" s="6">
        <f t="shared" si="20"/>
        <v>-3390.4338461537991</v>
      </c>
      <c r="Y26" s="2"/>
      <c r="Z26" s="7">
        <f t="shared" si="21"/>
        <v>-0.33577449080337568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24.67</v>
      </c>
      <c r="E27" s="2"/>
      <c r="F27" s="7">
        <f t="shared" si="14"/>
        <v>0</v>
      </c>
      <c r="G27" s="2"/>
      <c r="H27" s="6">
        <v>32.024999999999999</v>
      </c>
      <c r="I27" s="2"/>
      <c r="J27" s="7">
        <f t="shared" si="15"/>
        <v>1.3448536513669003E-3</v>
      </c>
      <c r="K27" s="2"/>
      <c r="L27" s="6">
        <f t="shared" si="16"/>
        <v>-7.3549999999999969</v>
      </c>
      <c r="M27" s="2"/>
      <c r="N27" s="7">
        <f t="shared" si="17"/>
        <v>-0.22966432474629186</v>
      </c>
      <c r="O27" s="11"/>
      <c r="P27" s="6">
        <v>42.1</v>
      </c>
      <c r="Q27" s="2"/>
      <c r="R27" s="7">
        <f t="shared" si="18"/>
        <v>0</v>
      </c>
      <c r="S27" s="2"/>
      <c r="T27" s="6">
        <v>51.0762</v>
      </c>
      <c r="U27" s="2"/>
      <c r="V27" s="7">
        <f t="shared" si="19"/>
        <v>1.9437607032766297E-3</v>
      </c>
      <c r="W27" s="2"/>
      <c r="X27" s="6">
        <f t="shared" si="20"/>
        <v>-8.9761999999999986</v>
      </c>
      <c r="Y27" s="2"/>
      <c r="Z27" s="7">
        <f t="shared" si="21"/>
        <v>-0.17574134332624586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3">
      <c r="A29" s="27"/>
      <c r="B29" s="11" t="str">
        <f>CONCATENATE("          ", "6116", " - ", "EDUCATIONAL BENEFITS")</f>
        <v xml:space="preserve">          6116 - EDUCATIONAL BENEFITS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3">
      <c r="A30" s="27"/>
      <c r="B30" s="11" t="str">
        <f>CONCATENATE("          ", "6118", " - ", "VACATION")</f>
        <v xml:space="preserve">          6118 - VACATION</v>
      </c>
      <c r="C30" s="11"/>
      <c r="D30" s="6">
        <v>289.12</v>
      </c>
      <c r="E30" s="2"/>
      <c r="F30" s="7">
        <f t="shared" si="14"/>
        <v>0</v>
      </c>
      <c r="G30" s="2"/>
      <c r="H30" s="6">
        <v>259.2</v>
      </c>
      <c r="I30" s="2"/>
      <c r="J30" s="7">
        <f t="shared" si="15"/>
        <v>1.0884810817620627E-2</v>
      </c>
      <c r="K30" s="2"/>
      <c r="L30" s="6">
        <f t="shared" si="16"/>
        <v>29.920000000000016</v>
      </c>
      <c r="M30" s="2"/>
      <c r="N30" s="7">
        <f t="shared" si="17"/>
        <v>0.11543209876543216</v>
      </c>
      <c r="O30" s="11"/>
      <c r="P30" s="6">
        <v>566.76</v>
      </c>
      <c r="Q30" s="2"/>
      <c r="R30" s="7">
        <f t="shared" si="18"/>
        <v>0</v>
      </c>
      <c r="S30" s="2"/>
      <c r="T30" s="6">
        <v>531.36</v>
      </c>
      <c r="U30" s="2"/>
      <c r="V30" s="7">
        <f t="shared" si="19"/>
        <v>2.0221486471058342E-2</v>
      </c>
      <c r="W30" s="2"/>
      <c r="X30" s="6">
        <f t="shared" si="20"/>
        <v>35.399999999999977</v>
      </c>
      <c r="Y30" s="2"/>
      <c r="Z30" s="7">
        <f t="shared" si="21"/>
        <v>6.6621499548328772E-2</v>
      </c>
    </row>
    <row r="31" spans="1:26" s="24" customFormat="1" hidden="1" outlineLevel="2" x14ac:dyDescent="0.3">
      <c r="A31" s="27"/>
      <c r="B31" s="11" t="str">
        <f>CONCATENATE("          ", "6119", " - ", "SICK LEAVE")</f>
        <v xml:space="preserve">          6119 - SICK LEAVE</v>
      </c>
      <c r="C31" s="11"/>
      <c r="D31" s="6">
        <v>273.06</v>
      </c>
      <c r="E31" s="2"/>
      <c r="F31" s="7">
        <f t="shared" si="14"/>
        <v>0</v>
      </c>
      <c r="G31" s="2"/>
      <c r="H31" s="6">
        <v>371.1</v>
      </c>
      <c r="I31" s="2"/>
      <c r="J31" s="7">
        <f t="shared" si="15"/>
        <v>1.558392474698694E-2</v>
      </c>
      <c r="K31" s="2"/>
      <c r="L31" s="6">
        <f t="shared" si="16"/>
        <v>-98.04000000000002</v>
      </c>
      <c r="M31" s="2"/>
      <c r="N31" s="7">
        <f t="shared" si="17"/>
        <v>-0.26418755052546489</v>
      </c>
      <c r="O31" s="11"/>
      <c r="P31" s="6">
        <v>536.92999999999995</v>
      </c>
      <c r="Q31" s="2"/>
      <c r="R31" s="7">
        <f t="shared" si="18"/>
        <v>0</v>
      </c>
      <c r="S31" s="2"/>
      <c r="T31" s="6">
        <v>552.54</v>
      </c>
      <c r="U31" s="2"/>
      <c r="V31" s="7">
        <f t="shared" si="19"/>
        <v>2.1027514556456215E-2</v>
      </c>
      <c r="W31" s="2"/>
      <c r="X31" s="6">
        <f t="shared" si="20"/>
        <v>-15.610000000000014</v>
      </c>
      <c r="Y31" s="2"/>
      <c r="Z31" s="7">
        <f t="shared" si="21"/>
        <v>-2.8251348318673788E-2</v>
      </c>
    </row>
    <row r="32" spans="1:26" s="24" customFormat="1" hidden="1" outlineLevel="2" x14ac:dyDescent="0.3">
      <c r="A32" s="27"/>
      <c r="B32" s="11" t="str">
        <f>CONCATENATE("          ", "6156", " - ", "EMPLOYEE MEALS")</f>
        <v xml:space="preserve">          6156 - EMPLOYEE MEALS</v>
      </c>
      <c r="C32" s="11"/>
      <c r="D32" s="6">
        <v>347.43</v>
      </c>
      <c r="E32" s="2"/>
      <c r="F32" s="7">
        <f t="shared" si="14"/>
        <v>0</v>
      </c>
      <c r="G32" s="2"/>
      <c r="H32" s="6">
        <v>1340</v>
      </c>
      <c r="I32" s="2"/>
      <c r="J32" s="7">
        <f t="shared" si="15"/>
        <v>5.6271784319489357E-2</v>
      </c>
      <c r="K32" s="2"/>
      <c r="L32" s="6">
        <f t="shared" si="16"/>
        <v>-992.56999999999994</v>
      </c>
      <c r="M32" s="2"/>
      <c r="N32" s="7">
        <f t="shared" si="17"/>
        <v>-0.74072388059701488</v>
      </c>
      <c r="O32" s="11"/>
      <c r="P32" s="6">
        <v>689.5</v>
      </c>
      <c r="Q32" s="2"/>
      <c r="R32" s="7">
        <f t="shared" si="18"/>
        <v>0</v>
      </c>
      <c r="S32" s="2"/>
      <c r="T32" s="6">
        <v>2440</v>
      </c>
      <c r="U32" s="2"/>
      <c r="V32" s="7">
        <f t="shared" si="19"/>
        <v>9.2856871027895124E-2</v>
      </c>
      <c r="W32" s="2"/>
      <c r="X32" s="6">
        <f t="shared" si="20"/>
        <v>-1750.5</v>
      </c>
      <c r="Y32" s="2"/>
      <c r="Z32" s="7">
        <f t="shared" si="21"/>
        <v>-0.71741803278688521</v>
      </c>
    </row>
    <row r="33" spans="1:26" s="28" customFormat="1" outlineLevel="1" collapsed="1" x14ac:dyDescent="0.3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9019.7800000000007</v>
      </c>
      <c r="E33" s="1"/>
      <c r="F33" s="5">
        <f t="shared" ref="F33:F43" si="22">IF(D$12=0,0,D33/D$12)</f>
        <v>0</v>
      </c>
      <c r="G33" s="1"/>
      <c r="H33" s="1">
        <f>SUM(OSRRefH22_1x_0)</f>
        <v>14619.7</v>
      </c>
      <c r="I33" s="1"/>
      <c r="J33" s="5">
        <f t="shared" ref="J33:J43" si="23">IF(H$12=0,0,H33/H$12)</f>
        <v>0.61393776508629738</v>
      </c>
      <c r="K33" s="1"/>
      <c r="L33" s="1">
        <f t="shared" ref="L33:L43" si="24">+D33-H33</f>
        <v>-5599.92</v>
      </c>
      <c r="M33" s="1"/>
      <c r="N33" s="5">
        <f t="shared" ref="N33:N43" si="25">IF(H33=0,0,L33/H33)</f>
        <v>-0.38303932365233212</v>
      </c>
      <c r="O33" s="14"/>
      <c r="P33" s="1">
        <f>SUM(OSRRefP22_1x_0)</f>
        <v>17459.38</v>
      </c>
      <c r="Q33" s="1"/>
      <c r="R33" s="5">
        <f t="shared" ref="R33:R43" si="26">IF(P$12=0,0,P33/P$12)</f>
        <v>0</v>
      </c>
      <c r="S33" s="1"/>
      <c r="T33" s="1">
        <f>SUM(OSRRefT22_1x_0)</f>
        <v>23238.1</v>
      </c>
      <c r="U33" s="1"/>
      <c r="V33" s="5">
        <f t="shared" ref="V33:V43" si="27">IF(T$12=0,0,T33/T$12)</f>
        <v>0.88435133386611864</v>
      </c>
      <c r="W33" s="1"/>
      <c r="X33" s="1">
        <f t="shared" ref="X33:X43" si="28">+P33-T33</f>
        <v>-5778.7199999999975</v>
      </c>
      <c r="Y33" s="1"/>
      <c r="Z33" s="5">
        <f t="shared" ref="Z33:Z43" si="29">IF(T33=0,0,X33/T33)</f>
        <v>-0.24867437527164432</v>
      </c>
    </row>
    <row r="34" spans="1:26" s="24" customFormat="1" hidden="1" outlineLevel="2" x14ac:dyDescent="0.3">
      <c r="A34" s="27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3">
      <c r="A36" s="27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3">
      <c r="A37" s="27"/>
      <c r="B37" s="11" t="str">
        <f>CONCATENATE("          ", "6004", " - ", "STAFF HOURLY")</f>
        <v xml:space="preserve">          6004 - STAFF HOURLY</v>
      </c>
      <c r="C37" s="11"/>
      <c r="D37" s="6">
        <v>4416.18</v>
      </c>
      <c r="E37" s="2"/>
      <c r="F37" s="7">
        <f t="shared" si="22"/>
        <v>0</v>
      </c>
      <c r="G37" s="2"/>
      <c r="H37" s="6">
        <v>8208</v>
      </c>
      <c r="I37" s="2"/>
      <c r="J37" s="7">
        <f t="shared" si="23"/>
        <v>0.34468567589131988</v>
      </c>
      <c r="K37" s="2"/>
      <c r="L37" s="6">
        <f t="shared" si="24"/>
        <v>-3791.8199999999997</v>
      </c>
      <c r="M37" s="2"/>
      <c r="N37" s="7">
        <f t="shared" si="25"/>
        <v>-0.46196637426900583</v>
      </c>
      <c r="O37" s="11"/>
      <c r="P37" s="6">
        <v>9147.4500000000007</v>
      </c>
      <c r="Q37" s="2"/>
      <c r="R37" s="7">
        <f t="shared" si="26"/>
        <v>0</v>
      </c>
      <c r="S37" s="2"/>
      <c r="T37" s="6">
        <v>16826.400000000001</v>
      </c>
      <c r="U37" s="2"/>
      <c r="V37" s="7">
        <f t="shared" si="27"/>
        <v>0.64034707158351412</v>
      </c>
      <c r="W37" s="2"/>
      <c r="X37" s="6">
        <f t="shared" si="28"/>
        <v>-7678.9500000000007</v>
      </c>
      <c r="Y37" s="2"/>
      <c r="Z37" s="7">
        <f t="shared" si="29"/>
        <v>-0.45636321494793897</v>
      </c>
    </row>
    <row r="38" spans="1:26" s="24" customFormat="1" hidden="1" outlineLevel="2" x14ac:dyDescent="0.3">
      <c r="A38" s="27"/>
      <c r="B38" s="11" t="str">
        <f>CONCATENATE("          ", "6005", " - ", "TEMPORARY WAGES-HOURLY")</f>
        <v xml:space="preserve">          6005 - TEMPORARY WAGES-HOURLY</v>
      </c>
      <c r="C38" s="11"/>
      <c r="D38" s="6">
        <v>3895.6</v>
      </c>
      <c r="E38" s="2"/>
      <c r="F38" s="7">
        <f t="shared" si="22"/>
        <v>0</v>
      </c>
      <c r="G38" s="2"/>
      <c r="H38" s="6">
        <v>4531.84</v>
      </c>
      <c r="I38" s="2"/>
      <c r="J38" s="7">
        <f t="shared" si="23"/>
        <v>0.1903094948137572</v>
      </c>
      <c r="K38" s="2"/>
      <c r="L38" s="6">
        <f t="shared" si="24"/>
        <v>-636.24000000000024</v>
      </c>
      <c r="M38" s="2"/>
      <c r="N38" s="7">
        <f t="shared" si="25"/>
        <v>-0.14039330603022177</v>
      </c>
      <c r="O38" s="11"/>
      <c r="P38" s="6">
        <v>5437.93</v>
      </c>
      <c r="Q38" s="2"/>
      <c r="R38" s="7">
        <f t="shared" si="26"/>
        <v>0</v>
      </c>
      <c r="S38" s="2"/>
      <c r="T38" s="6">
        <v>4531.84</v>
      </c>
      <c r="U38" s="2"/>
      <c r="V38" s="7">
        <f t="shared" si="27"/>
        <v>0.17246413213076076</v>
      </c>
      <c r="W38" s="2"/>
      <c r="X38" s="6">
        <f t="shared" si="28"/>
        <v>906.09000000000015</v>
      </c>
      <c r="Y38" s="2"/>
      <c r="Z38" s="7">
        <f t="shared" si="29"/>
        <v>0.19993865626323967</v>
      </c>
    </row>
    <row r="39" spans="1:26" s="24" customFormat="1" hidden="1" outlineLevel="2" x14ac:dyDescent="0.3">
      <c r="A39" s="27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3">
      <c r="A40" s="27"/>
      <c r="B40" s="11" t="str">
        <f>CONCATENATE("          ", "6007", " - ", "STUDENT HOURLY")</f>
        <v xml:space="preserve">          6007 - STUDENT HOURLY</v>
      </c>
      <c r="C40" s="11"/>
      <c r="D40" s="6">
        <v>708</v>
      </c>
      <c r="E40" s="2"/>
      <c r="F40" s="7">
        <f t="shared" si="22"/>
        <v>0</v>
      </c>
      <c r="G40" s="2"/>
      <c r="H40" s="6">
        <v>1323.08</v>
      </c>
      <c r="I40" s="2"/>
      <c r="J40" s="7">
        <f t="shared" si="23"/>
        <v>5.5561248057783563E-2</v>
      </c>
      <c r="K40" s="2"/>
      <c r="L40" s="6">
        <f t="shared" si="24"/>
        <v>-615.07999999999993</v>
      </c>
      <c r="M40" s="2"/>
      <c r="N40" s="7">
        <f t="shared" si="25"/>
        <v>-0.46488496538380142</v>
      </c>
      <c r="O40" s="11"/>
      <c r="P40" s="6">
        <v>2874</v>
      </c>
      <c r="Q40" s="2"/>
      <c r="R40" s="7">
        <f t="shared" si="26"/>
        <v>0</v>
      </c>
      <c r="S40" s="2"/>
      <c r="T40" s="6">
        <v>1323.08</v>
      </c>
      <c r="U40" s="2"/>
      <c r="V40" s="7">
        <f t="shared" si="27"/>
        <v>5.035125775392929E-2</v>
      </c>
      <c r="W40" s="2"/>
      <c r="X40" s="6">
        <f t="shared" si="28"/>
        <v>1550.92</v>
      </c>
      <c r="Y40" s="2"/>
      <c r="Z40" s="7">
        <f t="shared" si="29"/>
        <v>1.1722042506877892</v>
      </c>
    </row>
    <row r="41" spans="1:26" s="24" customFormat="1" hidden="1" outlineLevel="2" x14ac:dyDescent="0.3">
      <c r="A41" s="27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2"/>
        <v>0</v>
      </c>
      <c r="G41" s="2"/>
      <c r="H41" s="6">
        <v>556.78</v>
      </c>
      <c r="I41" s="2"/>
      <c r="J41" s="7">
        <f t="shared" si="23"/>
        <v>2.3381346323436778E-2</v>
      </c>
      <c r="K41" s="2"/>
      <c r="L41" s="6">
        <f t="shared" si="24"/>
        <v>-556.78</v>
      </c>
      <c r="M41" s="2"/>
      <c r="N41" s="7">
        <f t="shared" si="25"/>
        <v>-1</v>
      </c>
      <c r="O41" s="11"/>
      <c r="P41" s="6"/>
      <c r="Q41" s="2"/>
      <c r="R41" s="7">
        <f t="shared" si="26"/>
        <v>0</v>
      </c>
      <c r="S41" s="2"/>
      <c r="T41" s="6">
        <v>556.78</v>
      </c>
      <c r="U41" s="2"/>
      <c r="V41" s="7">
        <f t="shared" si="27"/>
        <v>2.1188872397914525E-2</v>
      </c>
      <c r="W41" s="2"/>
      <c r="X41" s="6">
        <f t="shared" si="28"/>
        <v>-556.78</v>
      </c>
      <c r="Y41" s="2"/>
      <c r="Z41" s="7">
        <f t="shared" si="29"/>
        <v>-1</v>
      </c>
    </row>
    <row r="42" spans="1:26" s="24" customFormat="1" hidden="1" outlineLevel="2" x14ac:dyDescent="0.3">
      <c r="A42" s="27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4" customFormat="1" hidden="1" outlineLevel="2" x14ac:dyDescent="0.3">
      <c r="A43" s="27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2"/>
        <v>0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/>
      <c r="Q43" s="2"/>
      <c r="R43" s="7">
        <f t="shared" si="26"/>
        <v>0</v>
      </c>
      <c r="S43" s="2"/>
      <c r="T43" s="6">
        <v>0</v>
      </c>
      <c r="U43" s="2"/>
      <c r="V43" s="7">
        <f t="shared" si="27"/>
        <v>0</v>
      </c>
      <c r="W43" s="2"/>
      <c r="X43" s="6">
        <f t="shared" si="28"/>
        <v>0</v>
      </c>
      <c r="Y43" s="2"/>
      <c r="Z43" s="7">
        <f t="shared" si="29"/>
        <v>0</v>
      </c>
    </row>
    <row r="44" spans="1:26" s="28" customFormat="1" outlineLevel="1" collapsed="1" x14ac:dyDescent="0.3">
      <c r="A44" s="29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4.5</v>
      </c>
      <c r="E44" s="1"/>
      <c r="F44" s="5">
        <f t="shared" ref="F44:F50" si="30">IF(D$12=0,0,D44/D$12)</f>
        <v>0</v>
      </c>
      <c r="G44" s="1"/>
      <c r="H44" s="1">
        <f>SUM(OSRRefH22_2x_0)</f>
        <v>0</v>
      </c>
      <c r="I44" s="1"/>
      <c r="J44" s="5">
        <f t="shared" ref="J44:J50" si="31">IF(H$12=0,0,H44/H$12)</f>
        <v>0</v>
      </c>
      <c r="K44" s="1"/>
      <c r="L44" s="1">
        <f t="shared" ref="L44:L50" si="32">+D44-H44</f>
        <v>4.5</v>
      </c>
      <c r="M44" s="1"/>
      <c r="N44" s="5">
        <f t="shared" ref="N44:N50" si="33">IF(H44=0,0,L44/H44)</f>
        <v>0</v>
      </c>
      <c r="O44" s="14"/>
      <c r="P44" s="1">
        <f>SUM(OSRRefP22_2x_0)</f>
        <v>253.82</v>
      </c>
      <c r="Q44" s="1"/>
      <c r="R44" s="5">
        <f t="shared" ref="R44:R50" si="34">IF(P$12=0,0,P44/P$12)</f>
        <v>0</v>
      </c>
      <c r="S44" s="1"/>
      <c r="T44" s="1">
        <f>SUM(OSRRefT22_2x_0)</f>
        <v>0</v>
      </c>
      <c r="U44" s="1"/>
      <c r="V44" s="5">
        <f t="shared" ref="V44:V50" si="35">IF(T$12=0,0,T44/T$12)</f>
        <v>0</v>
      </c>
      <c r="W44" s="1"/>
      <c r="X44" s="1">
        <f t="shared" ref="X44:X50" si="36">+P44-T44</f>
        <v>253.82</v>
      </c>
      <c r="Y44" s="1"/>
      <c r="Z44" s="5">
        <f t="shared" ref="Z44:Z50" si="37">IF(T44=0,0,X44/T44)</f>
        <v>0</v>
      </c>
    </row>
    <row r="45" spans="1:26" s="24" customFormat="1" hidden="1" outlineLevel="2" x14ac:dyDescent="0.3">
      <c r="A45" s="27"/>
      <c r="B45" s="11" t="str">
        <f>CONCATENATE("          ", "6362", " - ", "ADVERTISING EXPENSE")</f>
        <v xml:space="preserve">          6362 - ADVERTISING EXPENSE</v>
      </c>
      <c r="C45" s="11"/>
      <c r="D45" s="6">
        <v>4.5</v>
      </c>
      <c r="E45" s="2"/>
      <c r="F45" s="7">
        <f t="shared" si="30"/>
        <v>0</v>
      </c>
      <c r="G45" s="2"/>
      <c r="H45" s="6"/>
      <c r="I45" s="2"/>
      <c r="J45" s="7">
        <f t="shared" si="31"/>
        <v>0</v>
      </c>
      <c r="K45" s="2"/>
      <c r="L45" s="6">
        <f t="shared" si="32"/>
        <v>4.5</v>
      </c>
      <c r="M45" s="2"/>
      <c r="N45" s="7">
        <f t="shared" si="33"/>
        <v>0</v>
      </c>
      <c r="O45" s="11"/>
      <c r="P45" s="6">
        <v>253.82</v>
      </c>
      <c r="Q45" s="2"/>
      <c r="R45" s="7">
        <f t="shared" si="34"/>
        <v>0</v>
      </c>
      <c r="S45" s="2"/>
      <c r="T45" s="6"/>
      <c r="U45" s="2"/>
      <c r="V45" s="7">
        <f t="shared" si="35"/>
        <v>0</v>
      </c>
      <c r="W45" s="2"/>
      <c r="X45" s="6">
        <f t="shared" si="36"/>
        <v>253.82</v>
      </c>
      <c r="Y45" s="2"/>
      <c r="Z45" s="7">
        <f t="shared" si="37"/>
        <v>0</v>
      </c>
    </row>
    <row r="46" spans="1:26" s="28" customFormat="1" outlineLevel="1" collapsed="1" x14ac:dyDescent="0.3">
      <c r="A46" s="29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0.27</v>
      </c>
      <c r="E46" s="1"/>
      <c r="F46" s="5">
        <f t="shared" si="30"/>
        <v>0</v>
      </c>
      <c r="G46" s="1"/>
      <c r="H46" s="1">
        <f>SUM(OSRRefH22_3x_0)</f>
        <v>952</v>
      </c>
      <c r="I46" s="1"/>
      <c r="J46" s="5">
        <f t="shared" si="31"/>
        <v>3.9978163188174529E-2</v>
      </c>
      <c r="K46" s="1"/>
      <c r="L46" s="1">
        <f t="shared" si="32"/>
        <v>-951.73</v>
      </c>
      <c r="M46" s="1"/>
      <c r="N46" s="5">
        <f t="shared" si="33"/>
        <v>-0.99971638655462192</v>
      </c>
      <c r="O46" s="14"/>
      <c r="P46" s="1">
        <f>SUM(OSRRefP22_3x_0)</f>
        <v>0.37</v>
      </c>
      <c r="Q46" s="1"/>
      <c r="R46" s="5">
        <f t="shared" si="34"/>
        <v>0</v>
      </c>
      <c r="S46" s="1"/>
      <c r="T46" s="1">
        <f>SUM(OSRRefT22_3x_0)</f>
        <v>1050</v>
      </c>
      <c r="U46" s="1"/>
      <c r="V46" s="5">
        <f t="shared" si="35"/>
        <v>3.995889941774175E-2</v>
      </c>
      <c r="W46" s="1"/>
      <c r="X46" s="1">
        <f t="shared" si="36"/>
        <v>-1049.6300000000001</v>
      </c>
      <c r="Y46" s="1"/>
      <c r="Z46" s="5">
        <f t="shared" si="37"/>
        <v>-0.99964761904761912</v>
      </c>
    </row>
    <row r="47" spans="1:26" s="24" customFormat="1" hidden="1" outlineLevel="2" x14ac:dyDescent="0.3">
      <c r="A47" s="27"/>
      <c r="B47" s="11" t="str">
        <f>CONCATENATE("          ", "6381", " - ", "BANK/CREDIT CARD FEES")</f>
        <v xml:space="preserve">          6381 - BANK/CREDIT CARD FEES</v>
      </c>
      <c r="C47" s="11"/>
      <c r="D47" s="6">
        <v>0.27</v>
      </c>
      <c r="E47" s="2"/>
      <c r="F47" s="7">
        <f t="shared" si="30"/>
        <v>0</v>
      </c>
      <c r="G47" s="2"/>
      <c r="H47" s="6">
        <v>952</v>
      </c>
      <c r="I47" s="2"/>
      <c r="J47" s="7">
        <f t="shared" si="31"/>
        <v>3.9978163188174529E-2</v>
      </c>
      <c r="K47" s="2"/>
      <c r="L47" s="6">
        <f t="shared" si="32"/>
        <v>-951.73</v>
      </c>
      <c r="M47" s="2"/>
      <c r="N47" s="7">
        <f t="shared" si="33"/>
        <v>-0.99971638655462192</v>
      </c>
      <c r="O47" s="11"/>
      <c r="P47" s="6">
        <v>0.37</v>
      </c>
      <c r="Q47" s="2"/>
      <c r="R47" s="7">
        <f t="shared" si="34"/>
        <v>0</v>
      </c>
      <c r="S47" s="2"/>
      <c r="T47" s="6">
        <v>1050</v>
      </c>
      <c r="U47" s="2"/>
      <c r="V47" s="7">
        <f t="shared" si="35"/>
        <v>3.995889941774175E-2</v>
      </c>
      <c r="W47" s="2"/>
      <c r="X47" s="6">
        <f t="shared" si="36"/>
        <v>-1049.6300000000001</v>
      </c>
      <c r="Y47" s="2"/>
      <c r="Z47" s="7">
        <f t="shared" si="37"/>
        <v>-0.99964761904761912</v>
      </c>
    </row>
    <row r="48" spans="1:26" s="28" customFormat="1" outlineLevel="1" collapsed="1" x14ac:dyDescent="0.3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6745.15</v>
      </c>
      <c r="E48" s="1"/>
      <c r="F48" s="5">
        <f t="shared" si="30"/>
        <v>0</v>
      </c>
      <c r="G48" s="1"/>
      <c r="H48" s="1">
        <f>SUM(OSRRefH22_4x_0)</f>
        <v>6745</v>
      </c>
      <c r="I48" s="1"/>
      <c r="J48" s="5">
        <f t="shared" si="31"/>
        <v>0.28324864569772812</v>
      </c>
      <c r="K48" s="1"/>
      <c r="L48" s="1">
        <f t="shared" si="32"/>
        <v>0.1499999999996362</v>
      </c>
      <c r="M48" s="1"/>
      <c r="N48" s="5">
        <f t="shared" si="33"/>
        <v>2.2238695329820044E-5</v>
      </c>
      <c r="O48" s="14"/>
      <c r="P48" s="1">
        <f>SUM(OSRRefP22_4x_0)</f>
        <v>13490.3</v>
      </c>
      <c r="Q48" s="1"/>
      <c r="R48" s="5">
        <f t="shared" si="34"/>
        <v>0</v>
      </c>
      <c r="S48" s="1"/>
      <c r="T48" s="1">
        <f>SUM(OSRRefT22_4x_0)</f>
        <v>13490</v>
      </c>
      <c r="U48" s="1"/>
      <c r="V48" s="5">
        <f t="shared" si="35"/>
        <v>0.51337671728127254</v>
      </c>
      <c r="W48" s="1"/>
      <c r="X48" s="1">
        <f t="shared" si="36"/>
        <v>0.2999999999992724</v>
      </c>
      <c r="Y48" s="1"/>
      <c r="Z48" s="5">
        <f t="shared" si="37"/>
        <v>2.2238695329820044E-5</v>
      </c>
    </row>
    <row r="49" spans="1:26" s="24" customFormat="1" hidden="1" outlineLevel="2" x14ac:dyDescent="0.3">
      <c r="A49" s="27"/>
      <c r="B49" s="11" t="str">
        <f>CONCATENATE("          ", "6321", " - ", "BUILDING DEPRECIATION")</f>
        <v xml:space="preserve">          6321 - BUILDING DEPRECIATION</v>
      </c>
      <c r="C49" s="11"/>
      <c r="D49" s="6">
        <v>6537.03</v>
      </c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6537.03</v>
      </c>
      <c r="M49" s="2"/>
      <c r="N49" s="7">
        <f t="shared" si="33"/>
        <v>0</v>
      </c>
      <c r="O49" s="11"/>
      <c r="P49" s="6">
        <v>13074.06</v>
      </c>
      <c r="Q49" s="2"/>
      <c r="R49" s="7">
        <f t="shared" si="34"/>
        <v>0</v>
      </c>
      <c r="S49" s="2"/>
      <c r="T49" s="6"/>
      <c r="U49" s="2"/>
      <c r="V49" s="7">
        <f t="shared" si="35"/>
        <v>0</v>
      </c>
      <c r="W49" s="2"/>
      <c r="X49" s="6">
        <f t="shared" si="36"/>
        <v>13074.06</v>
      </c>
      <c r="Y49" s="2"/>
      <c r="Z49" s="7">
        <f t="shared" si="37"/>
        <v>0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208.12</v>
      </c>
      <c r="E50" s="2"/>
      <c r="F50" s="7">
        <f t="shared" si="30"/>
        <v>0</v>
      </c>
      <c r="G50" s="2"/>
      <c r="H50" s="6">
        <v>6745</v>
      </c>
      <c r="I50" s="2"/>
      <c r="J50" s="7">
        <f t="shared" si="31"/>
        <v>0.28324864569772812</v>
      </c>
      <c r="K50" s="2"/>
      <c r="L50" s="6">
        <f t="shared" si="32"/>
        <v>-6536.88</v>
      </c>
      <c r="M50" s="2"/>
      <c r="N50" s="7">
        <f t="shared" si="33"/>
        <v>-0.96914455151964418</v>
      </c>
      <c r="O50" s="11"/>
      <c r="P50" s="6">
        <v>416.24</v>
      </c>
      <c r="Q50" s="2"/>
      <c r="R50" s="7">
        <f t="shared" si="34"/>
        <v>0</v>
      </c>
      <c r="S50" s="2"/>
      <c r="T50" s="6">
        <v>13490</v>
      </c>
      <c r="U50" s="2"/>
      <c r="V50" s="7">
        <f t="shared" si="35"/>
        <v>0.51337671728127254</v>
      </c>
      <c r="W50" s="2"/>
      <c r="X50" s="6">
        <f t="shared" si="36"/>
        <v>-13073.76</v>
      </c>
      <c r="Y50" s="2"/>
      <c r="Z50" s="7">
        <f t="shared" si="37"/>
        <v>-0.96914455151964418</v>
      </c>
    </row>
    <row r="51" spans="1:26" s="28" customFormat="1" outlineLevel="1" collapsed="1" x14ac:dyDescent="0.3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SUM(OSRRefD22_5x_0)</f>
        <v>0</v>
      </c>
      <c r="E51" s="1"/>
      <c r="F51" s="5">
        <f t="shared" ref="F51:F59" si="38">IF(D$12=0,0,D51/D$12)</f>
        <v>0</v>
      </c>
      <c r="G51" s="1"/>
      <c r="H51" s="1">
        <f>SUM(OSRRefH22_5x_0)</f>
        <v>20</v>
      </c>
      <c r="I51" s="1"/>
      <c r="J51" s="5">
        <f t="shared" ref="J51:J59" si="39">IF(H$12=0,0,H51/H$12)</f>
        <v>8.3987737790282616E-4</v>
      </c>
      <c r="K51" s="1"/>
      <c r="L51" s="1">
        <f t="shared" ref="L51:L59" si="40">+D51-H51</f>
        <v>-20</v>
      </c>
      <c r="M51" s="1"/>
      <c r="N51" s="5">
        <f t="shared" ref="N51:N59" si="41">IF(H51=0,0,L51/H51)</f>
        <v>-1</v>
      </c>
      <c r="O51" s="14"/>
      <c r="P51" s="1">
        <f>SUM(OSRRefP22_5x_0)</f>
        <v>0</v>
      </c>
      <c r="Q51" s="1"/>
      <c r="R51" s="5">
        <f t="shared" ref="R51:R59" si="42">IF(P$12=0,0,P51/P$12)</f>
        <v>0</v>
      </c>
      <c r="S51" s="1"/>
      <c r="T51" s="1">
        <f>SUM(OSRRefT22_5x_0)</f>
        <v>20</v>
      </c>
      <c r="U51" s="1"/>
      <c r="V51" s="5">
        <f t="shared" ref="V51:V59" si="43">IF(T$12=0,0,T51/T$12)</f>
        <v>7.6112189367127144E-4</v>
      </c>
      <c r="W51" s="1"/>
      <c r="X51" s="1">
        <f t="shared" ref="X51:X59" si="44">+P51-T51</f>
        <v>-20</v>
      </c>
      <c r="Y51" s="1"/>
      <c r="Z51" s="5">
        <f t="shared" ref="Z51:Z59" si="45">IF(T51=0,0,X51/T51)</f>
        <v>-1</v>
      </c>
    </row>
    <row r="52" spans="1:26" s="24" customFormat="1" hidden="1" outlineLevel="2" x14ac:dyDescent="0.3">
      <c r="A52" s="27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38"/>
        <v>0</v>
      </c>
      <c r="G52" s="2"/>
      <c r="H52" s="6">
        <v>20</v>
      </c>
      <c r="I52" s="2"/>
      <c r="J52" s="7">
        <f t="shared" si="39"/>
        <v>8.3987737790282616E-4</v>
      </c>
      <c r="K52" s="2"/>
      <c r="L52" s="6">
        <f t="shared" si="40"/>
        <v>-20</v>
      </c>
      <c r="M52" s="2"/>
      <c r="N52" s="7">
        <f t="shared" si="41"/>
        <v>-1</v>
      </c>
      <c r="O52" s="11"/>
      <c r="P52" s="6"/>
      <c r="Q52" s="2"/>
      <c r="R52" s="7">
        <f t="shared" si="42"/>
        <v>0</v>
      </c>
      <c r="S52" s="2"/>
      <c r="T52" s="6">
        <v>20</v>
      </c>
      <c r="U52" s="2"/>
      <c r="V52" s="7">
        <f t="shared" si="43"/>
        <v>7.6112189367127144E-4</v>
      </c>
      <c r="W52" s="2"/>
      <c r="X52" s="6">
        <f t="shared" si="44"/>
        <v>-20</v>
      </c>
      <c r="Y52" s="2"/>
      <c r="Z52" s="7">
        <f t="shared" si="45"/>
        <v>-1</v>
      </c>
    </row>
    <row r="53" spans="1:26" s="28" customFormat="1" outlineLevel="1" collapsed="1" x14ac:dyDescent="0.3">
      <c r="A53" s="29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819.39</v>
      </c>
      <c r="E53" s="1"/>
      <c r="F53" s="5">
        <f t="shared" si="38"/>
        <v>0</v>
      </c>
      <c r="G53" s="1"/>
      <c r="H53" s="1">
        <f>SUM(OSRRefH22_6x_0)</f>
        <v>200</v>
      </c>
      <c r="I53" s="1"/>
      <c r="J53" s="5">
        <f t="shared" si="39"/>
        <v>8.398773779028262E-3</v>
      </c>
      <c r="K53" s="1"/>
      <c r="L53" s="1">
        <f t="shared" si="40"/>
        <v>619.39</v>
      </c>
      <c r="M53" s="1"/>
      <c r="N53" s="5">
        <f t="shared" si="41"/>
        <v>3.0969500000000001</v>
      </c>
      <c r="O53" s="14"/>
      <c r="P53" s="1">
        <f>SUM(OSRRefP22_6x_0)</f>
        <v>1034.8599999999999</v>
      </c>
      <c r="Q53" s="1"/>
      <c r="R53" s="5">
        <f t="shared" si="42"/>
        <v>0</v>
      </c>
      <c r="S53" s="1"/>
      <c r="T53" s="1">
        <f>SUM(OSRRefT22_6x_0)</f>
        <v>400</v>
      </c>
      <c r="U53" s="1"/>
      <c r="V53" s="5">
        <f t="shared" si="43"/>
        <v>1.5222437873425429E-2</v>
      </c>
      <c r="W53" s="1"/>
      <c r="X53" s="1">
        <f t="shared" si="44"/>
        <v>634.8599999999999</v>
      </c>
      <c r="Y53" s="1"/>
      <c r="Z53" s="5">
        <f t="shared" si="45"/>
        <v>1.5871499999999998</v>
      </c>
    </row>
    <row r="54" spans="1:26" s="24" customFormat="1" hidden="1" outlineLevel="2" x14ac:dyDescent="0.3">
      <c r="A54" s="27"/>
      <c r="B54" s="11" t="str">
        <f>CONCATENATE("          ", "6351", " - ", "EQUIPMENT RENTAL")</f>
        <v xml:space="preserve">          6351 - EQUIPMENT RENTAL</v>
      </c>
      <c r="C54" s="11"/>
      <c r="D54" s="6">
        <v>819.39</v>
      </c>
      <c r="E54" s="2"/>
      <c r="F54" s="7">
        <f t="shared" si="38"/>
        <v>0</v>
      </c>
      <c r="G54" s="2"/>
      <c r="H54" s="6">
        <v>200</v>
      </c>
      <c r="I54" s="2"/>
      <c r="J54" s="7">
        <f t="shared" si="39"/>
        <v>8.398773779028262E-3</v>
      </c>
      <c r="K54" s="2"/>
      <c r="L54" s="6">
        <f t="shared" si="40"/>
        <v>619.39</v>
      </c>
      <c r="M54" s="2"/>
      <c r="N54" s="7">
        <f t="shared" si="41"/>
        <v>3.0969500000000001</v>
      </c>
      <c r="O54" s="11"/>
      <c r="P54" s="6">
        <v>1034.8599999999999</v>
      </c>
      <c r="Q54" s="2"/>
      <c r="R54" s="7">
        <f t="shared" si="42"/>
        <v>0</v>
      </c>
      <c r="S54" s="2"/>
      <c r="T54" s="6">
        <v>400</v>
      </c>
      <c r="U54" s="2"/>
      <c r="V54" s="7">
        <f t="shared" si="43"/>
        <v>1.5222437873425429E-2</v>
      </c>
      <c r="W54" s="2"/>
      <c r="X54" s="6">
        <f t="shared" si="44"/>
        <v>634.8599999999999</v>
      </c>
      <c r="Y54" s="2"/>
      <c r="Z54" s="7">
        <f t="shared" si="45"/>
        <v>1.5871499999999998</v>
      </c>
    </row>
    <row r="55" spans="1:26" s="28" customFormat="1" outlineLevel="1" collapsed="1" x14ac:dyDescent="0.3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1314.55</v>
      </c>
      <c r="E55" s="1"/>
      <c r="F55" s="5">
        <f t="shared" si="38"/>
        <v>0</v>
      </c>
      <c r="G55" s="1"/>
      <c r="H55" s="1">
        <f>SUM(OSRRefH22_7x_0)</f>
        <v>0</v>
      </c>
      <c r="I55" s="1"/>
      <c r="J55" s="5">
        <f t="shared" si="39"/>
        <v>0</v>
      </c>
      <c r="K55" s="1"/>
      <c r="L55" s="1">
        <f t="shared" si="40"/>
        <v>1314.55</v>
      </c>
      <c r="M55" s="1"/>
      <c r="N55" s="5">
        <f t="shared" si="41"/>
        <v>0</v>
      </c>
      <c r="O55" s="14"/>
      <c r="P55" s="1">
        <f>SUM(OSRRefP22_7x_0)</f>
        <v>1314.55</v>
      </c>
      <c r="Q55" s="1"/>
      <c r="R55" s="5">
        <f t="shared" si="42"/>
        <v>0</v>
      </c>
      <c r="S55" s="1"/>
      <c r="T55" s="1">
        <f>SUM(OSRRefT22_7x_0)</f>
        <v>1400</v>
      </c>
      <c r="U55" s="1"/>
      <c r="V55" s="5">
        <f t="shared" si="43"/>
        <v>5.3278532556989E-2</v>
      </c>
      <c r="W55" s="1"/>
      <c r="X55" s="1">
        <f t="shared" si="44"/>
        <v>-85.450000000000045</v>
      </c>
      <c r="Y55" s="1"/>
      <c r="Z55" s="5">
        <f t="shared" si="45"/>
        <v>-6.1035714285714318E-2</v>
      </c>
    </row>
    <row r="56" spans="1:26" s="24" customFormat="1" hidden="1" outlineLevel="2" x14ac:dyDescent="0.3">
      <c r="A56" s="27"/>
      <c r="B56" s="11" t="str">
        <f>CONCATENATE("          ", "6279", " - ", "GENERAL EXPENSE")</f>
        <v xml:space="preserve">          6279 - GENERAL EXPENSE</v>
      </c>
      <c r="C56" s="11"/>
      <c r="D56" s="6">
        <v>1314.55</v>
      </c>
      <c r="E56" s="2"/>
      <c r="F56" s="7">
        <f t="shared" si="38"/>
        <v>0</v>
      </c>
      <c r="G56" s="2"/>
      <c r="H56" s="6"/>
      <c r="I56" s="2"/>
      <c r="J56" s="7">
        <f t="shared" si="39"/>
        <v>0</v>
      </c>
      <c r="K56" s="2"/>
      <c r="L56" s="6">
        <f t="shared" si="40"/>
        <v>1314.55</v>
      </c>
      <c r="M56" s="2"/>
      <c r="N56" s="7">
        <f t="shared" si="41"/>
        <v>0</v>
      </c>
      <c r="O56" s="11"/>
      <c r="P56" s="6">
        <v>1314.55</v>
      </c>
      <c r="Q56" s="2"/>
      <c r="R56" s="7">
        <f t="shared" si="42"/>
        <v>0</v>
      </c>
      <c r="S56" s="2"/>
      <c r="T56" s="6">
        <v>1400</v>
      </c>
      <c r="U56" s="2"/>
      <c r="V56" s="7">
        <f t="shared" si="43"/>
        <v>5.3278532556989E-2</v>
      </c>
      <c r="W56" s="2"/>
      <c r="X56" s="6">
        <f t="shared" si="44"/>
        <v>-85.450000000000045</v>
      </c>
      <c r="Y56" s="2"/>
      <c r="Z56" s="7">
        <f t="shared" si="45"/>
        <v>-6.1035714285714318E-2</v>
      </c>
    </row>
    <row r="57" spans="1:26" s="28" customFormat="1" outlineLevel="1" collapsed="1" x14ac:dyDescent="0.3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SUM(OSRRefD22_8x_0)</f>
        <v>1079.81</v>
      </c>
      <c r="E57" s="1"/>
      <c r="F57" s="5">
        <f t="shared" si="38"/>
        <v>0</v>
      </c>
      <c r="G57" s="1"/>
      <c r="H57" s="1">
        <f>SUM(OSRRefH22_8x_0)</f>
        <v>476</v>
      </c>
      <c r="I57" s="1"/>
      <c r="J57" s="5">
        <f t="shared" si="39"/>
        <v>1.9989081594087264E-2</v>
      </c>
      <c r="K57" s="1"/>
      <c r="L57" s="1">
        <f t="shared" si="40"/>
        <v>603.80999999999995</v>
      </c>
      <c r="M57" s="1"/>
      <c r="N57" s="5">
        <f t="shared" si="41"/>
        <v>1.2685084033613445</v>
      </c>
      <c r="O57" s="14"/>
      <c r="P57" s="1">
        <f>SUM(OSRRefP22_8x_0)</f>
        <v>2031.28</v>
      </c>
      <c r="Q57" s="1"/>
      <c r="R57" s="5">
        <f t="shared" si="42"/>
        <v>0</v>
      </c>
      <c r="S57" s="1"/>
      <c r="T57" s="1">
        <f>SUM(OSRRefT22_8x_0)</f>
        <v>10976</v>
      </c>
      <c r="U57" s="1"/>
      <c r="V57" s="5">
        <f t="shared" si="43"/>
        <v>0.41770369524679379</v>
      </c>
      <c r="W57" s="1"/>
      <c r="X57" s="1">
        <f t="shared" si="44"/>
        <v>-8944.7199999999993</v>
      </c>
      <c r="Y57" s="1"/>
      <c r="Z57" s="5">
        <f t="shared" si="45"/>
        <v>-0.81493440233236147</v>
      </c>
    </row>
    <row r="58" spans="1:26" s="24" customFormat="1" hidden="1" outlineLevel="2" x14ac:dyDescent="0.3">
      <c r="A58" s="27"/>
      <c r="B58" s="11" t="str">
        <f>CONCATENATE("          ", "6373", " - ", "MAINTENANCE CONTRACTS")</f>
        <v xml:space="preserve">          6373 - MAINTENANCE CONTRACTS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500</v>
      </c>
      <c r="U58" s="2"/>
      <c r="V58" s="7">
        <f t="shared" si="43"/>
        <v>1.9028047341781786E-2</v>
      </c>
      <c r="W58" s="2"/>
      <c r="X58" s="6">
        <f t="shared" si="44"/>
        <v>-500</v>
      </c>
      <c r="Y58" s="2"/>
      <c r="Z58" s="7">
        <f t="shared" si="45"/>
        <v>-1</v>
      </c>
    </row>
    <row r="59" spans="1:26" s="24" customFormat="1" hidden="1" outlineLevel="2" x14ac:dyDescent="0.3">
      <c r="A59" s="27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1079.81</v>
      </c>
      <c r="E59" s="2"/>
      <c r="F59" s="7">
        <f t="shared" si="38"/>
        <v>0</v>
      </c>
      <c r="G59" s="2"/>
      <c r="H59" s="6">
        <v>476</v>
      </c>
      <c r="I59" s="2"/>
      <c r="J59" s="7">
        <f t="shared" si="39"/>
        <v>1.9989081594087264E-2</v>
      </c>
      <c r="K59" s="2"/>
      <c r="L59" s="6">
        <f t="shared" si="40"/>
        <v>603.80999999999995</v>
      </c>
      <c r="M59" s="2"/>
      <c r="N59" s="7">
        <f t="shared" si="41"/>
        <v>1.2685084033613445</v>
      </c>
      <c r="O59" s="11"/>
      <c r="P59" s="6">
        <v>2031.28</v>
      </c>
      <c r="Q59" s="2"/>
      <c r="R59" s="7">
        <f t="shared" si="42"/>
        <v>0</v>
      </c>
      <c r="S59" s="2"/>
      <c r="T59" s="6">
        <v>10476</v>
      </c>
      <c r="U59" s="2"/>
      <c r="V59" s="7">
        <f t="shared" si="43"/>
        <v>0.39867564790501198</v>
      </c>
      <c r="W59" s="2"/>
      <c r="X59" s="6">
        <f t="shared" si="44"/>
        <v>-8444.7199999999993</v>
      </c>
      <c r="Y59" s="2"/>
      <c r="Z59" s="7">
        <f t="shared" si="45"/>
        <v>-0.80610156548300871</v>
      </c>
    </row>
    <row r="60" spans="1:26" s="28" customFormat="1" outlineLevel="1" collapsed="1" x14ac:dyDescent="0.3">
      <c r="A60" s="29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SUM(OSRRefD22_9x_0)</f>
        <v>260</v>
      </c>
      <c r="E60" s="1"/>
      <c r="F60" s="5">
        <f t="shared" ref="F60:F64" si="46">IF(D$12=0,0,D60/D$12)</f>
        <v>0</v>
      </c>
      <c r="G60" s="1"/>
      <c r="H60" s="1">
        <f>SUM(OSRRefH22_9x_0)</f>
        <v>3225</v>
      </c>
      <c r="I60" s="1"/>
      <c r="J60" s="5">
        <f t="shared" ref="J60:J64" si="47">IF(H$12=0,0,H60/H$12)</f>
        <v>0.13543022718683073</v>
      </c>
      <c r="K60" s="1"/>
      <c r="L60" s="1">
        <f t="shared" ref="L60:L64" si="48">+D60-H60</f>
        <v>-2965</v>
      </c>
      <c r="M60" s="1"/>
      <c r="N60" s="5">
        <f t="shared" ref="N60:N64" si="49">IF(H60=0,0,L60/H60)</f>
        <v>-0.91937984496124026</v>
      </c>
      <c r="O60" s="14"/>
      <c r="P60" s="1">
        <f>SUM(OSRRefP22_9x_0)</f>
        <v>260</v>
      </c>
      <c r="Q60" s="1"/>
      <c r="R60" s="5">
        <f t="shared" ref="R60:R64" si="50">IF(P$12=0,0,P60/P$12)</f>
        <v>0</v>
      </c>
      <c r="S60" s="1"/>
      <c r="T60" s="1">
        <f>SUM(OSRRefT22_9x_0)</f>
        <v>3525</v>
      </c>
      <c r="U60" s="1"/>
      <c r="V60" s="5">
        <f t="shared" ref="V60:V64" si="51">IF(T$12=0,0,T60/T$12)</f>
        <v>0.1341477337595616</v>
      </c>
      <c r="W60" s="1"/>
      <c r="X60" s="1">
        <f t="shared" ref="X60:X64" si="52">+P60-T60</f>
        <v>-3265</v>
      </c>
      <c r="Y60" s="1"/>
      <c r="Z60" s="5">
        <f t="shared" ref="Z60:Z64" si="53">IF(T60=0,0,X60/T60)</f>
        <v>-0.92624113475177305</v>
      </c>
    </row>
    <row r="61" spans="1:26" s="24" customFormat="1" hidden="1" outlineLevel="2" x14ac:dyDescent="0.3">
      <c r="A61" s="27"/>
      <c r="B61" s="11" t="str">
        <f>CONCATENATE("          ", "6283", " - ", "PLANT SERVICE")</f>
        <v xml:space="preserve">          6283 - PLANT SERVICE</v>
      </c>
      <c r="C61" s="11"/>
      <c r="D61" s="6"/>
      <c r="E61" s="2"/>
      <c r="F61" s="7">
        <f t="shared" si="46"/>
        <v>0</v>
      </c>
      <c r="G61" s="2"/>
      <c r="H61" s="6">
        <v>100</v>
      </c>
      <c r="I61" s="2"/>
      <c r="J61" s="7">
        <f t="shared" si="47"/>
        <v>4.199386889514131E-3</v>
      </c>
      <c r="K61" s="2"/>
      <c r="L61" s="6">
        <f t="shared" si="48"/>
        <v>-100</v>
      </c>
      <c r="M61" s="2"/>
      <c r="N61" s="7">
        <f t="shared" si="49"/>
        <v>-1</v>
      </c>
      <c r="O61" s="11"/>
      <c r="P61" s="6"/>
      <c r="Q61" s="2"/>
      <c r="R61" s="7">
        <f t="shared" si="50"/>
        <v>0</v>
      </c>
      <c r="S61" s="2"/>
      <c r="T61" s="6">
        <v>200</v>
      </c>
      <c r="U61" s="2"/>
      <c r="V61" s="7">
        <f t="shared" si="51"/>
        <v>7.6112189367127147E-3</v>
      </c>
      <c r="W61" s="2"/>
      <c r="X61" s="6">
        <f t="shared" si="52"/>
        <v>-200</v>
      </c>
      <c r="Y61" s="2"/>
      <c r="Z61" s="7">
        <f t="shared" si="53"/>
        <v>-1</v>
      </c>
    </row>
    <row r="62" spans="1:26" s="24" customFormat="1" hidden="1" outlineLevel="2" x14ac:dyDescent="0.3">
      <c r="A62" s="27"/>
      <c r="B62" s="11" t="str">
        <f>CONCATENATE("          ", "6284", " - ", "TRASH REMOVAL EXPENSE")</f>
        <v xml:space="preserve">          6284 - TRASH REMOVAL EXPENSE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0</v>
      </c>
      <c r="U62" s="2"/>
      <c r="V62" s="7">
        <f t="shared" si="51"/>
        <v>0</v>
      </c>
      <c r="W62" s="2"/>
      <c r="X62" s="6">
        <f t="shared" si="52"/>
        <v>0</v>
      </c>
      <c r="Y62" s="2"/>
      <c r="Z62" s="7">
        <f t="shared" si="53"/>
        <v>0</v>
      </c>
    </row>
    <row r="63" spans="1:26" s="24" customFormat="1" hidden="1" outlineLevel="2" x14ac:dyDescent="0.3">
      <c r="A63" s="27"/>
      <c r="B63" s="11" t="str">
        <f>CONCATENATE("          ", "6285", " - ", "JANITORIAL SERVICES")</f>
        <v xml:space="preserve">          6285 - JANITORIAL SERVICES</v>
      </c>
      <c r="C63" s="11"/>
      <c r="D63" s="6">
        <v>260</v>
      </c>
      <c r="E63" s="2"/>
      <c r="F63" s="7">
        <f t="shared" si="46"/>
        <v>0</v>
      </c>
      <c r="G63" s="2"/>
      <c r="H63" s="6">
        <v>3100</v>
      </c>
      <c r="I63" s="2"/>
      <c r="J63" s="7">
        <f t="shared" si="47"/>
        <v>0.13018099357493806</v>
      </c>
      <c r="K63" s="2"/>
      <c r="L63" s="6">
        <f t="shared" si="48"/>
        <v>-2840</v>
      </c>
      <c r="M63" s="2"/>
      <c r="N63" s="7">
        <f t="shared" si="49"/>
        <v>-0.91612903225806452</v>
      </c>
      <c r="O63" s="11"/>
      <c r="P63" s="6">
        <v>260</v>
      </c>
      <c r="Q63" s="2"/>
      <c r="R63" s="7">
        <f t="shared" si="50"/>
        <v>0</v>
      </c>
      <c r="S63" s="2"/>
      <c r="T63" s="6">
        <v>3100</v>
      </c>
      <c r="U63" s="2"/>
      <c r="V63" s="7">
        <f t="shared" si="51"/>
        <v>0.11797389351904708</v>
      </c>
      <c r="W63" s="2"/>
      <c r="X63" s="6">
        <f t="shared" si="52"/>
        <v>-2840</v>
      </c>
      <c r="Y63" s="2"/>
      <c r="Z63" s="7">
        <f t="shared" si="53"/>
        <v>-0.91612903225806452</v>
      </c>
    </row>
    <row r="64" spans="1:26" s="24" customFormat="1" hidden="1" outlineLevel="2" x14ac:dyDescent="0.3">
      <c r="A64" s="27"/>
      <c r="B64" s="11" t="str">
        <f>CONCATENATE("          ", "6286", " - ", "LAUNDRY EXPENSE")</f>
        <v xml:space="preserve">          6286 - LAUNDRY EXPENSE</v>
      </c>
      <c r="C64" s="11"/>
      <c r="D64" s="6"/>
      <c r="E64" s="2"/>
      <c r="F64" s="7">
        <f t="shared" si="46"/>
        <v>0</v>
      </c>
      <c r="G64" s="2"/>
      <c r="H64" s="6">
        <v>25</v>
      </c>
      <c r="I64" s="2"/>
      <c r="J64" s="7">
        <f t="shared" si="47"/>
        <v>1.0498467223785328E-3</v>
      </c>
      <c r="K64" s="2"/>
      <c r="L64" s="6">
        <f t="shared" si="48"/>
        <v>-25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225</v>
      </c>
      <c r="U64" s="2"/>
      <c r="V64" s="7">
        <f t="shared" si="51"/>
        <v>8.5626213038018043E-3</v>
      </c>
      <c r="W64" s="2"/>
      <c r="X64" s="6">
        <f t="shared" si="52"/>
        <v>-225</v>
      </c>
      <c r="Y64" s="2"/>
      <c r="Z64" s="7">
        <f t="shared" si="53"/>
        <v>-1</v>
      </c>
    </row>
    <row r="65" spans="1:26" s="28" customFormat="1" outlineLevel="1" collapsed="1" x14ac:dyDescent="0.3">
      <c r="A65" s="29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1">
        <f>SUM(OSRRefD22_10x_0)</f>
        <v>0</v>
      </c>
      <c r="E65" s="1"/>
      <c r="F65" s="5">
        <f t="shared" ref="F65:F75" si="54">IF(D$12=0,0,D65/D$12)</f>
        <v>0</v>
      </c>
      <c r="G65" s="1"/>
      <c r="H65" s="1">
        <f>SUM(OSRRefH22_10x_0)</f>
        <v>200</v>
      </c>
      <c r="I65" s="1"/>
      <c r="J65" s="5">
        <f t="shared" ref="J65:J75" si="55">IF(H$12=0,0,H65/H$12)</f>
        <v>8.398773779028262E-3</v>
      </c>
      <c r="K65" s="1"/>
      <c r="L65" s="1">
        <f t="shared" ref="L65:L75" si="56">+D65-H65</f>
        <v>-200</v>
      </c>
      <c r="M65" s="1"/>
      <c r="N65" s="5">
        <f t="shared" ref="N65:N75" si="57">IF(H65=0,0,L65/H65)</f>
        <v>-1</v>
      </c>
      <c r="O65" s="14"/>
      <c r="P65" s="1">
        <f>SUM(OSRRefP22_10x_0)</f>
        <v>0</v>
      </c>
      <c r="Q65" s="1"/>
      <c r="R65" s="5">
        <f t="shared" ref="R65:R75" si="58">IF(P$12=0,0,P65/P$12)</f>
        <v>0</v>
      </c>
      <c r="S65" s="1"/>
      <c r="T65" s="1">
        <f>SUM(OSRRefT22_10x_0)</f>
        <v>200</v>
      </c>
      <c r="U65" s="1"/>
      <c r="V65" s="5">
        <f t="shared" ref="V65:V75" si="59">IF(T$12=0,0,T65/T$12)</f>
        <v>7.6112189367127147E-3</v>
      </c>
      <c r="W65" s="1"/>
      <c r="X65" s="1">
        <f t="shared" ref="X65:X75" si="60">+P65-T65</f>
        <v>-200</v>
      </c>
      <c r="Y65" s="1"/>
      <c r="Z65" s="5">
        <f t="shared" ref="Z65:Z75" si="61">IF(T65=0,0,X65/T65)</f>
        <v>-1</v>
      </c>
    </row>
    <row r="66" spans="1:26" s="24" customFormat="1" hidden="1" outlineLevel="2" x14ac:dyDescent="0.3">
      <c r="A66" s="27"/>
      <c r="B66" s="11" t="str">
        <f>CONCATENATE("          ", "6275", " - ", "SUBSCRIPTIONS")</f>
        <v xml:space="preserve">          6275 - SUBSCRIPTIONS</v>
      </c>
      <c r="C66" s="11"/>
      <c r="D66" s="6"/>
      <c r="E66" s="2"/>
      <c r="F66" s="7">
        <f t="shared" si="54"/>
        <v>0</v>
      </c>
      <c r="G66" s="2"/>
      <c r="H66" s="6">
        <v>200</v>
      </c>
      <c r="I66" s="2"/>
      <c r="J66" s="7">
        <f t="shared" si="55"/>
        <v>8.398773779028262E-3</v>
      </c>
      <c r="K66" s="2"/>
      <c r="L66" s="6">
        <f t="shared" si="56"/>
        <v>-200</v>
      </c>
      <c r="M66" s="2"/>
      <c r="N66" s="7">
        <f t="shared" si="57"/>
        <v>-1</v>
      </c>
      <c r="O66" s="11"/>
      <c r="P66" s="6"/>
      <c r="Q66" s="2"/>
      <c r="R66" s="7">
        <f t="shared" si="58"/>
        <v>0</v>
      </c>
      <c r="S66" s="2"/>
      <c r="T66" s="6">
        <v>200</v>
      </c>
      <c r="U66" s="2"/>
      <c r="V66" s="7">
        <f t="shared" si="59"/>
        <v>7.6112189367127147E-3</v>
      </c>
      <c r="W66" s="2"/>
      <c r="X66" s="6">
        <f t="shared" si="60"/>
        <v>-200</v>
      </c>
      <c r="Y66" s="2"/>
      <c r="Z66" s="7">
        <f t="shared" si="61"/>
        <v>-1</v>
      </c>
    </row>
    <row r="67" spans="1:26" s="28" customFormat="1" outlineLevel="1" collapsed="1" x14ac:dyDescent="0.3">
      <c r="A67" s="29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SUM(OSRRefD22_11x_0)</f>
        <v>866.38</v>
      </c>
      <c r="E67" s="1"/>
      <c r="F67" s="5">
        <f t="shared" si="54"/>
        <v>0</v>
      </c>
      <c r="G67" s="1"/>
      <c r="H67" s="1">
        <f>SUM(OSRRefH22_11x_0)</f>
        <v>700</v>
      </c>
      <c r="I67" s="1"/>
      <c r="J67" s="5">
        <f t="shared" si="55"/>
        <v>2.9395708226598916E-2</v>
      </c>
      <c r="K67" s="1"/>
      <c r="L67" s="1">
        <f t="shared" si="56"/>
        <v>166.38</v>
      </c>
      <c r="M67" s="1"/>
      <c r="N67" s="5">
        <f t="shared" si="57"/>
        <v>0.23768571428571428</v>
      </c>
      <c r="O67" s="14"/>
      <c r="P67" s="1">
        <f>SUM(OSRRefP22_11x_0)</f>
        <v>943.54</v>
      </c>
      <c r="Q67" s="1"/>
      <c r="R67" s="5">
        <f t="shared" si="58"/>
        <v>0</v>
      </c>
      <c r="S67" s="1"/>
      <c r="T67" s="1">
        <f>SUM(OSRRefT22_11x_0)</f>
        <v>7350</v>
      </c>
      <c r="U67" s="1"/>
      <c r="V67" s="5">
        <f t="shared" si="59"/>
        <v>0.27971229592419228</v>
      </c>
      <c r="W67" s="1"/>
      <c r="X67" s="1">
        <f t="shared" si="60"/>
        <v>-6406.46</v>
      </c>
      <c r="Y67" s="1"/>
      <c r="Z67" s="5">
        <f t="shared" si="61"/>
        <v>-0.8716272108843538</v>
      </c>
    </row>
    <row r="68" spans="1:26" s="24" customFormat="1" hidden="1" outlineLevel="2" x14ac:dyDescent="0.3">
      <c r="A68" s="27"/>
      <c r="B68" s="11" t="str">
        <f>CONCATENATE("          ", "6235", " - ", "COVID-19 EXPENSES")</f>
        <v xml:space="preserve">          6235 - COVID-19 EXPENSES</v>
      </c>
      <c r="C68" s="11"/>
      <c r="D68" s="6"/>
      <c r="E68" s="2"/>
      <c r="F68" s="7">
        <f t="shared" si="54"/>
        <v>0</v>
      </c>
      <c r="G68" s="2"/>
      <c r="H68" s="6">
        <v>175</v>
      </c>
      <c r="I68" s="2"/>
      <c r="J68" s="7">
        <f t="shared" si="55"/>
        <v>7.3489270566497291E-3</v>
      </c>
      <c r="K68" s="2"/>
      <c r="L68" s="6">
        <f t="shared" si="56"/>
        <v>-175</v>
      </c>
      <c r="M68" s="2"/>
      <c r="N68" s="7">
        <f t="shared" si="57"/>
        <v>-1</v>
      </c>
      <c r="O68" s="11"/>
      <c r="P68" s="6"/>
      <c r="Q68" s="2"/>
      <c r="R68" s="7">
        <f t="shared" si="58"/>
        <v>0</v>
      </c>
      <c r="S68" s="2"/>
      <c r="T68" s="6">
        <v>425</v>
      </c>
      <c r="U68" s="2"/>
      <c r="V68" s="7">
        <f t="shared" si="59"/>
        <v>1.617384024051452E-2</v>
      </c>
      <c r="W68" s="2"/>
      <c r="X68" s="6">
        <f t="shared" si="60"/>
        <v>-425</v>
      </c>
      <c r="Y68" s="2"/>
      <c r="Z68" s="7">
        <f t="shared" si="61"/>
        <v>-1</v>
      </c>
    </row>
    <row r="69" spans="1:26" s="24" customFormat="1" hidden="1" outlineLevel="2" x14ac:dyDescent="0.3">
      <c r="A69" s="27"/>
      <c r="B69" s="11" t="str">
        <f>CONCATENATE("          ", "6237", " - ", "JANITORIAL SUPPLIES")</f>
        <v xml:space="preserve">          6237 - JANITORIAL SUPPLIES</v>
      </c>
      <c r="C69" s="11"/>
      <c r="D69" s="6">
        <v>796.76</v>
      </c>
      <c r="E69" s="2"/>
      <c r="F69" s="7">
        <f t="shared" si="54"/>
        <v>0</v>
      </c>
      <c r="G69" s="2"/>
      <c r="H69" s="6">
        <v>75</v>
      </c>
      <c r="I69" s="2"/>
      <c r="J69" s="7">
        <f t="shared" si="55"/>
        <v>3.149540167135598E-3</v>
      </c>
      <c r="K69" s="2"/>
      <c r="L69" s="6">
        <f t="shared" si="56"/>
        <v>721.76</v>
      </c>
      <c r="M69" s="2"/>
      <c r="N69" s="7">
        <f t="shared" si="57"/>
        <v>9.6234666666666673</v>
      </c>
      <c r="O69" s="11"/>
      <c r="P69" s="6">
        <v>796.76</v>
      </c>
      <c r="Q69" s="2"/>
      <c r="R69" s="7">
        <f t="shared" si="58"/>
        <v>0</v>
      </c>
      <c r="S69" s="2"/>
      <c r="T69" s="6">
        <v>325</v>
      </c>
      <c r="U69" s="2"/>
      <c r="V69" s="7">
        <f t="shared" si="59"/>
        <v>1.2368230772158161E-2</v>
      </c>
      <c r="W69" s="2"/>
      <c r="X69" s="6">
        <f t="shared" si="60"/>
        <v>471.76</v>
      </c>
      <c r="Y69" s="2"/>
      <c r="Z69" s="7">
        <f t="shared" si="61"/>
        <v>1.4515692307692307</v>
      </c>
    </row>
    <row r="70" spans="1:26" s="24" customFormat="1" hidden="1" outlineLevel="2" x14ac:dyDescent="0.3">
      <c r="A70" s="27"/>
      <c r="B70" s="11" t="str">
        <f>CONCATENATE("          ", "6239", " - ", "KITCHEN SUPPLIES")</f>
        <v xml:space="preserve">          6239 - KITCHEN SUPPLIES</v>
      </c>
      <c r="C70" s="11"/>
      <c r="D70" s="6">
        <v>69.62</v>
      </c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69.62</v>
      </c>
      <c r="M70" s="2"/>
      <c r="N70" s="7">
        <f t="shared" si="57"/>
        <v>0</v>
      </c>
      <c r="O70" s="11"/>
      <c r="P70" s="6">
        <v>69.62</v>
      </c>
      <c r="Q70" s="2"/>
      <c r="R70" s="7">
        <f t="shared" si="58"/>
        <v>0</v>
      </c>
      <c r="S70" s="2"/>
      <c r="T70" s="6">
        <v>5000</v>
      </c>
      <c r="U70" s="2"/>
      <c r="V70" s="7">
        <f t="shared" si="59"/>
        <v>0.19028047341781787</v>
      </c>
      <c r="W70" s="2"/>
      <c r="X70" s="6">
        <f t="shared" si="60"/>
        <v>-4930.38</v>
      </c>
      <c r="Y70" s="2"/>
      <c r="Z70" s="7">
        <f t="shared" si="61"/>
        <v>-0.98607600000000006</v>
      </c>
    </row>
    <row r="71" spans="1:26" s="24" customFormat="1" hidden="1" outlineLevel="2" x14ac:dyDescent="0.3">
      <c r="A71" s="27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54"/>
        <v>0</v>
      </c>
      <c r="G71" s="2"/>
      <c r="H71" s="6"/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1"/>
      <c r="P71" s="6">
        <v>77.16</v>
      </c>
      <c r="Q71" s="2"/>
      <c r="R71" s="7">
        <f t="shared" si="58"/>
        <v>0</v>
      </c>
      <c r="S71" s="2"/>
      <c r="T71" s="6"/>
      <c r="U71" s="2"/>
      <c r="V71" s="7">
        <f t="shared" si="59"/>
        <v>0</v>
      </c>
      <c r="W71" s="2"/>
      <c r="X71" s="6">
        <f t="shared" si="60"/>
        <v>77.16</v>
      </c>
      <c r="Y71" s="2"/>
      <c r="Z71" s="7">
        <f t="shared" si="61"/>
        <v>0</v>
      </c>
    </row>
    <row r="72" spans="1:26" s="24" customFormat="1" hidden="1" outlineLevel="2" x14ac:dyDescent="0.3">
      <c r="A72" s="27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54"/>
        <v>0</v>
      </c>
      <c r="G72" s="2"/>
      <c r="H72" s="6">
        <v>300</v>
      </c>
      <c r="I72" s="2"/>
      <c r="J72" s="7">
        <f t="shared" si="55"/>
        <v>1.2598160668542392E-2</v>
      </c>
      <c r="K72" s="2"/>
      <c r="L72" s="6">
        <f t="shared" si="56"/>
        <v>-300</v>
      </c>
      <c r="M72" s="2"/>
      <c r="N72" s="7">
        <f t="shared" si="57"/>
        <v>-1</v>
      </c>
      <c r="O72" s="11"/>
      <c r="P72" s="6"/>
      <c r="Q72" s="2"/>
      <c r="R72" s="7">
        <f t="shared" si="58"/>
        <v>0</v>
      </c>
      <c r="S72" s="2"/>
      <c r="T72" s="6">
        <v>450</v>
      </c>
      <c r="U72" s="2"/>
      <c r="V72" s="7">
        <f t="shared" si="59"/>
        <v>1.7125242607603609E-2</v>
      </c>
      <c r="W72" s="2"/>
      <c r="X72" s="6">
        <f t="shared" si="60"/>
        <v>-450</v>
      </c>
      <c r="Y72" s="2"/>
      <c r="Z72" s="7">
        <f t="shared" si="61"/>
        <v>-1</v>
      </c>
    </row>
    <row r="73" spans="1:26" s="24" customFormat="1" hidden="1" outlineLevel="2" x14ac:dyDescent="0.3">
      <c r="A73" s="27"/>
      <c r="B73" s="11" t="str">
        <f>CONCATENATE("          ", "6244", " - ", "SAFETY SUPPLY EXPENSE")</f>
        <v xml:space="preserve">          6244 - SAFETY SUPPLY EXPENSE</v>
      </c>
      <c r="C73" s="11"/>
      <c r="D73" s="6"/>
      <c r="E73" s="2"/>
      <c r="F73" s="7">
        <f t="shared" si="54"/>
        <v>0</v>
      </c>
      <c r="G73" s="2"/>
      <c r="H73" s="6"/>
      <c r="I73" s="2"/>
      <c r="J73" s="7">
        <f t="shared" si="55"/>
        <v>0</v>
      </c>
      <c r="K73" s="2"/>
      <c r="L73" s="6">
        <f t="shared" si="56"/>
        <v>0</v>
      </c>
      <c r="M73" s="2"/>
      <c r="N73" s="7">
        <f t="shared" si="57"/>
        <v>0</v>
      </c>
      <c r="O73" s="11"/>
      <c r="P73" s="6"/>
      <c r="Q73" s="2"/>
      <c r="R73" s="7">
        <f t="shared" si="58"/>
        <v>0</v>
      </c>
      <c r="S73" s="2"/>
      <c r="T73" s="6">
        <v>50</v>
      </c>
      <c r="U73" s="2"/>
      <c r="V73" s="7">
        <f t="shared" si="59"/>
        <v>1.9028047341781787E-3</v>
      </c>
      <c r="W73" s="2"/>
      <c r="X73" s="6">
        <f t="shared" si="60"/>
        <v>-50</v>
      </c>
      <c r="Y73" s="2"/>
      <c r="Z73" s="7">
        <f t="shared" si="61"/>
        <v>-1</v>
      </c>
    </row>
    <row r="74" spans="1:26" s="24" customFormat="1" hidden="1" outlineLevel="2" x14ac:dyDescent="0.3">
      <c r="A74" s="27"/>
      <c r="B74" s="11" t="str">
        <f>CONCATENATE("          ", "6245", " - ", "PRINTING")</f>
        <v xml:space="preserve">          6245 - PRINTING</v>
      </c>
      <c r="C74" s="11"/>
      <c r="D74" s="6"/>
      <c r="E74" s="2"/>
      <c r="F74" s="7">
        <f t="shared" si="54"/>
        <v>0</v>
      </c>
      <c r="G74" s="2"/>
      <c r="H74" s="6">
        <v>150</v>
      </c>
      <c r="I74" s="2"/>
      <c r="J74" s="7">
        <f t="shared" si="55"/>
        <v>6.2990803342711961E-3</v>
      </c>
      <c r="K74" s="2"/>
      <c r="L74" s="6">
        <f t="shared" si="56"/>
        <v>-150</v>
      </c>
      <c r="M74" s="2"/>
      <c r="N74" s="7">
        <f t="shared" si="57"/>
        <v>-1</v>
      </c>
      <c r="O74" s="11"/>
      <c r="P74" s="6"/>
      <c r="Q74" s="2"/>
      <c r="R74" s="7">
        <f t="shared" si="58"/>
        <v>0</v>
      </c>
      <c r="S74" s="2"/>
      <c r="T74" s="6">
        <v>300</v>
      </c>
      <c r="U74" s="2"/>
      <c r="V74" s="7">
        <f t="shared" si="59"/>
        <v>1.1416828405069072E-2</v>
      </c>
      <c r="W74" s="2"/>
      <c r="X74" s="6">
        <f t="shared" si="60"/>
        <v>-300</v>
      </c>
      <c r="Y74" s="2"/>
      <c r="Z74" s="7">
        <f t="shared" si="61"/>
        <v>-1</v>
      </c>
    </row>
    <row r="75" spans="1:26" s="24" customFormat="1" hidden="1" outlineLevel="2" x14ac:dyDescent="0.3">
      <c r="A75" s="27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54"/>
        <v>0</v>
      </c>
      <c r="G75" s="2"/>
      <c r="H75" s="6"/>
      <c r="I75" s="2"/>
      <c r="J75" s="7">
        <f t="shared" si="55"/>
        <v>0</v>
      </c>
      <c r="K75" s="2"/>
      <c r="L75" s="6">
        <f t="shared" si="56"/>
        <v>0</v>
      </c>
      <c r="M75" s="2"/>
      <c r="N75" s="7">
        <f t="shared" si="57"/>
        <v>0</v>
      </c>
      <c r="O75" s="11"/>
      <c r="P75" s="6"/>
      <c r="Q75" s="2"/>
      <c r="R75" s="7">
        <f t="shared" si="58"/>
        <v>0</v>
      </c>
      <c r="S75" s="2"/>
      <c r="T75" s="6">
        <v>800</v>
      </c>
      <c r="U75" s="2"/>
      <c r="V75" s="7">
        <f t="shared" si="59"/>
        <v>3.0444875746850859E-2</v>
      </c>
      <c r="W75" s="2"/>
      <c r="X75" s="6">
        <f t="shared" si="60"/>
        <v>-800</v>
      </c>
      <c r="Y75" s="2"/>
      <c r="Z75" s="7">
        <f t="shared" si="61"/>
        <v>-1</v>
      </c>
    </row>
    <row r="76" spans="1:26" s="28" customFormat="1" outlineLevel="1" collapsed="1" x14ac:dyDescent="0.3">
      <c r="A76" s="29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SUM(OSRRefD22_12x_0)</f>
        <v>0</v>
      </c>
      <c r="E76" s="1"/>
      <c r="F76" s="5">
        <f t="shared" ref="F76:F78" si="62">IF(D$12=0,0,D76/D$12)</f>
        <v>0</v>
      </c>
      <c r="G76" s="1"/>
      <c r="H76" s="1">
        <f>SUM(OSRRefH22_12x_0)</f>
        <v>75</v>
      </c>
      <c r="I76" s="1"/>
      <c r="J76" s="5">
        <f t="shared" ref="J76:J78" si="63">IF(H$12=0,0,H76/H$12)</f>
        <v>3.149540167135598E-3</v>
      </c>
      <c r="K76" s="1"/>
      <c r="L76" s="1">
        <f t="shared" ref="L76:L78" si="64">+D76-H76</f>
        <v>-75</v>
      </c>
      <c r="M76" s="1"/>
      <c r="N76" s="5">
        <f t="shared" ref="N76:N78" si="65">IF(H76=0,0,L76/H76)</f>
        <v>-1</v>
      </c>
      <c r="O76" s="14"/>
      <c r="P76" s="1">
        <f>SUM(OSRRefP22_12x_0)</f>
        <v>75</v>
      </c>
      <c r="Q76" s="1"/>
      <c r="R76" s="5">
        <f t="shared" ref="R76:R78" si="66">IF(P$12=0,0,P76/P$12)</f>
        <v>0</v>
      </c>
      <c r="S76" s="1"/>
      <c r="T76" s="1">
        <f>SUM(OSRRefT22_12x_0)</f>
        <v>300</v>
      </c>
      <c r="U76" s="1"/>
      <c r="V76" s="5">
        <f t="shared" ref="V76:V78" si="67">IF(T$12=0,0,T76/T$12)</f>
        <v>1.1416828405069072E-2</v>
      </c>
      <c r="W76" s="1"/>
      <c r="X76" s="1">
        <f t="shared" ref="X76:X78" si="68">+P76-T76</f>
        <v>-225</v>
      </c>
      <c r="Y76" s="1"/>
      <c r="Z76" s="5">
        <f t="shared" ref="Z76:Z78" si="69">IF(T76=0,0,X76/T76)</f>
        <v>-0.75</v>
      </c>
    </row>
    <row r="77" spans="1:26" s="24" customFormat="1" hidden="1" outlineLevel="2" x14ac:dyDescent="0.3">
      <c r="A77" s="27"/>
      <c r="B77" s="11" t="str">
        <f>CONCATENATE("          ", "6303", " - ", "DATA PHONE LINES")</f>
        <v xml:space="preserve">          6303 - DATA PHONE LINES</v>
      </c>
      <c r="C77" s="11"/>
      <c r="D77" s="6"/>
      <c r="E77" s="2"/>
      <c r="F77" s="7">
        <f t="shared" si="62"/>
        <v>0</v>
      </c>
      <c r="G77" s="2"/>
      <c r="H77" s="6">
        <v>75</v>
      </c>
      <c r="I77" s="2"/>
      <c r="J77" s="7">
        <f t="shared" si="63"/>
        <v>3.149540167135598E-3</v>
      </c>
      <c r="K77" s="2"/>
      <c r="L77" s="6">
        <f t="shared" si="64"/>
        <v>-75</v>
      </c>
      <c r="M77" s="2"/>
      <c r="N77" s="7">
        <f t="shared" si="65"/>
        <v>-1</v>
      </c>
      <c r="O77" s="11"/>
      <c r="P77" s="6"/>
      <c r="Q77" s="2"/>
      <c r="R77" s="7">
        <f t="shared" si="66"/>
        <v>0</v>
      </c>
      <c r="S77" s="2"/>
      <c r="T77" s="6">
        <v>150</v>
      </c>
      <c r="U77" s="2"/>
      <c r="V77" s="7">
        <f t="shared" si="67"/>
        <v>5.7084142025345362E-3</v>
      </c>
      <c r="W77" s="2"/>
      <c r="X77" s="6">
        <f t="shared" si="68"/>
        <v>-150</v>
      </c>
      <c r="Y77" s="2"/>
      <c r="Z77" s="7">
        <f t="shared" si="69"/>
        <v>-1</v>
      </c>
    </row>
    <row r="78" spans="1:26" s="24" customFormat="1" hidden="1" outlineLevel="2" x14ac:dyDescent="0.3">
      <c r="A78" s="27"/>
      <c r="B78" s="11" t="str">
        <f>CONCATENATE("          ", "6309", " - ", "TELEPHONE")</f>
        <v xml:space="preserve">          6309 - TELEPHONE</v>
      </c>
      <c r="C78" s="11"/>
      <c r="D78" s="6">
        <v>0</v>
      </c>
      <c r="E78" s="2"/>
      <c r="F78" s="7">
        <f t="shared" si="62"/>
        <v>0</v>
      </c>
      <c r="G78" s="2"/>
      <c r="H78" s="6"/>
      <c r="I78" s="2"/>
      <c r="J78" s="7">
        <f t="shared" si="63"/>
        <v>0</v>
      </c>
      <c r="K78" s="2"/>
      <c r="L78" s="6">
        <f t="shared" si="64"/>
        <v>0</v>
      </c>
      <c r="M78" s="2"/>
      <c r="N78" s="7">
        <f t="shared" si="65"/>
        <v>0</v>
      </c>
      <c r="O78" s="11"/>
      <c r="P78" s="6">
        <v>75</v>
      </c>
      <c r="Q78" s="2"/>
      <c r="R78" s="7">
        <f t="shared" si="66"/>
        <v>0</v>
      </c>
      <c r="S78" s="2"/>
      <c r="T78" s="6">
        <v>150</v>
      </c>
      <c r="U78" s="2"/>
      <c r="V78" s="7">
        <f t="shared" si="67"/>
        <v>5.7084142025345362E-3</v>
      </c>
      <c r="W78" s="2"/>
      <c r="X78" s="6">
        <f t="shared" si="68"/>
        <v>-75</v>
      </c>
      <c r="Y78" s="2"/>
      <c r="Z78" s="7">
        <f t="shared" si="69"/>
        <v>-0.5</v>
      </c>
    </row>
    <row r="79" spans="1:26" s="28" customFormat="1" outlineLevel="1" collapsed="1" x14ac:dyDescent="0.3">
      <c r="A79" s="29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SUM(OSRRefD22_13x_0)</f>
        <v>0</v>
      </c>
      <c r="E79" s="1"/>
      <c r="F79" s="5">
        <f t="shared" ref="F79:F82" si="70">IF(D$12=0,0,D79/D$12)</f>
        <v>0</v>
      </c>
      <c r="G79" s="1"/>
      <c r="H79" s="1">
        <f>SUM(OSRRefH22_13x_0)</f>
        <v>0</v>
      </c>
      <c r="I79" s="1"/>
      <c r="J79" s="5">
        <f t="shared" ref="J79:J82" si="71">IF(H$12=0,0,H79/H$12)</f>
        <v>0</v>
      </c>
      <c r="K79" s="1"/>
      <c r="L79" s="1">
        <f t="shared" ref="L79:L82" si="72">+D79-H79</f>
        <v>0</v>
      </c>
      <c r="M79" s="1"/>
      <c r="N79" s="5">
        <f t="shared" ref="N79:N82" si="73">IF(H79=0,0,L79/H79)</f>
        <v>0</v>
      </c>
      <c r="O79" s="14"/>
      <c r="P79" s="1">
        <f>SUM(OSRRefP22_13x_0)</f>
        <v>0</v>
      </c>
      <c r="Q79" s="1"/>
      <c r="R79" s="5">
        <f t="shared" ref="R79:R82" si="74">IF(P$12=0,0,P79/P$12)</f>
        <v>0</v>
      </c>
      <c r="S79" s="1"/>
      <c r="T79" s="1">
        <f>SUM(OSRRefT22_13x_0)</f>
        <v>200</v>
      </c>
      <c r="U79" s="1"/>
      <c r="V79" s="5">
        <f t="shared" ref="V79:V82" si="75">IF(T$12=0,0,T79/T$12)</f>
        <v>7.6112189367127147E-3</v>
      </c>
      <c r="W79" s="1"/>
      <c r="X79" s="1">
        <f t="shared" ref="X79:X82" si="76">+P79-T79</f>
        <v>-200</v>
      </c>
      <c r="Y79" s="1"/>
      <c r="Z79" s="5">
        <f t="shared" ref="Z79:Z82" si="77">IF(T79=0,0,X79/T79)</f>
        <v>-1</v>
      </c>
    </row>
    <row r="80" spans="1:26" s="24" customFormat="1" hidden="1" outlineLevel="2" x14ac:dyDescent="0.3">
      <c r="A80" s="27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70"/>
        <v>0</v>
      </c>
      <c r="G80" s="2"/>
      <c r="H80" s="6"/>
      <c r="I80" s="2"/>
      <c r="J80" s="7">
        <f t="shared" si="71"/>
        <v>0</v>
      </c>
      <c r="K80" s="2"/>
      <c r="L80" s="6">
        <f t="shared" si="72"/>
        <v>0</v>
      </c>
      <c r="M80" s="2"/>
      <c r="N80" s="7">
        <f t="shared" si="73"/>
        <v>0</v>
      </c>
      <c r="O80" s="11"/>
      <c r="P80" s="6"/>
      <c r="Q80" s="2"/>
      <c r="R80" s="7">
        <f t="shared" si="74"/>
        <v>0</v>
      </c>
      <c r="S80" s="2"/>
      <c r="T80" s="6">
        <v>200</v>
      </c>
      <c r="U80" s="2"/>
      <c r="V80" s="7">
        <f t="shared" si="75"/>
        <v>7.6112189367127147E-3</v>
      </c>
      <c r="W80" s="2"/>
      <c r="X80" s="6">
        <f t="shared" si="76"/>
        <v>-200</v>
      </c>
      <c r="Y80" s="2"/>
      <c r="Z80" s="7">
        <f t="shared" si="77"/>
        <v>-1</v>
      </c>
    </row>
    <row r="81" spans="1:26" s="28" customFormat="1" outlineLevel="1" collapsed="1" x14ac:dyDescent="0.3">
      <c r="A81" s="29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SUM(OSRRefD22_14x_0)</f>
        <v>0</v>
      </c>
      <c r="E81" s="1"/>
      <c r="F81" s="5">
        <f t="shared" si="70"/>
        <v>0</v>
      </c>
      <c r="G81" s="1"/>
      <c r="H81" s="1">
        <f>SUM(OSRRefH22_14x_0)</f>
        <v>500</v>
      </c>
      <c r="I81" s="1"/>
      <c r="J81" s="5">
        <f t="shared" si="71"/>
        <v>2.0996934447570656E-2</v>
      </c>
      <c r="K81" s="1"/>
      <c r="L81" s="1">
        <f t="shared" si="72"/>
        <v>-500</v>
      </c>
      <c r="M81" s="1"/>
      <c r="N81" s="5">
        <f t="shared" si="73"/>
        <v>-1</v>
      </c>
      <c r="O81" s="14"/>
      <c r="P81" s="1">
        <f>SUM(OSRRefP22_14x_0)</f>
        <v>0</v>
      </c>
      <c r="Q81" s="1"/>
      <c r="R81" s="5">
        <f t="shared" si="74"/>
        <v>0</v>
      </c>
      <c r="S81" s="1"/>
      <c r="T81" s="1">
        <f>SUM(OSRRefT22_14x_0)</f>
        <v>1000</v>
      </c>
      <c r="U81" s="1"/>
      <c r="V81" s="5">
        <f t="shared" si="75"/>
        <v>3.8056094683563572E-2</v>
      </c>
      <c r="W81" s="1"/>
      <c r="X81" s="1">
        <f t="shared" si="76"/>
        <v>-1000</v>
      </c>
      <c r="Y81" s="1"/>
      <c r="Z81" s="5">
        <f t="shared" si="77"/>
        <v>-1</v>
      </c>
    </row>
    <row r="82" spans="1:26" s="24" customFormat="1" hidden="1" outlineLevel="2" x14ac:dyDescent="0.3">
      <c r="A82" s="27"/>
      <c r="B82" s="11" t="str">
        <f>CONCATENATE("          ", "6274", " - ", "UTILITIES")</f>
        <v xml:space="preserve">          6274 - UTILITIES</v>
      </c>
      <c r="C82" s="11"/>
      <c r="D82" s="6"/>
      <c r="E82" s="2"/>
      <c r="F82" s="7">
        <f t="shared" si="70"/>
        <v>0</v>
      </c>
      <c r="G82" s="2"/>
      <c r="H82" s="6">
        <v>500</v>
      </c>
      <c r="I82" s="2"/>
      <c r="J82" s="7">
        <f t="shared" si="71"/>
        <v>2.0996934447570656E-2</v>
      </c>
      <c r="K82" s="2"/>
      <c r="L82" s="6">
        <f t="shared" si="72"/>
        <v>-500</v>
      </c>
      <c r="M82" s="2"/>
      <c r="N82" s="7">
        <f t="shared" si="73"/>
        <v>-1</v>
      </c>
      <c r="O82" s="11"/>
      <c r="P82" s="6"/>
      <c r="Q82" s="2"/>
      <c r="R82" s="7">
        <f t="shared" si="74"/>
        <v>0</v>
      </c>
      <c r="S82" s="2"/>
      <c r="T82" s="6">
        <v>1000</v>
      </c>
      <c r="U82" s="2"/>
      <c r="V82" s="7">
        <f t="shared" si="75"/>
        <v>3.8056094683563572E-2</v>
      </c>
      <c r="W82" s="2"/>
      <c r="X82" s="6">
        <f t="shared" si="76"/>
        <v>-1000</v>
      </c>
      <c r="Y82" s="2"/>
      <c r="Z82" s="7">
        <f t="shared" si="77"/>
        <v>-1</v>
      </c>
    </row>
    <row r="83" spans="1:26" s="53" customFormat="1" x14ac:dyDescent="0.3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">
      <c r="A84" s="10"/>
      <c r="B84" s="25" t="s">
        <v>293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3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10"/>
      <c r="B86" s="26" t="s">
        <v>277</v>
      </c>
      <c r="C86" s="26"/>
      <c r="D86" s="21">
        <f>+D20-D22+D84</f>
        <v>-24730.709999999995</v>
      </c>
      <c r="E86" s="13"/>
      <c r="F86" s="20">
        <f>IF(D$12=0,0,D86/D$12)</f>
        <v>0</v>
      </c>
      <c r="G86" s="13"/>
      <c r="H86" s="21">
        <f>+H20-H22+H84</f>
        <v>-21220.144581538458</v>
      </c>
      <c r="I86" s="13"/>
      <c r="J86" s="20">
        <f>IF(H$12=0,0,H86/H$12)</f>
        <v>-0.89111596949306926</v>
      </c>
      <c r="K86" s="16"/>
      <c r="L86" s="21">
        <f>+D86-H86</f>
        <v>-3510.5654184615378</v>
      </c>
      <c r="M86" s="16"/>
      <c r="N86" s="20">
        <f>IF(H86=0,0,L86/H86)</f>
        <v>0.16543550893219325</v>
      </c>
      <c r="O86" s="25"/>
      <c r="P86" s="21">
        <f>+P20-P22+P84</f>
        <v>-46492.010000000009</v>
      </c>
      <c r="Q86" s="13"/>
      <c r="R86" s="20">
        <f>IF(P$12=0,0,P86/P$12)</f>
        <v>0</v>
      </c>
      <c r="S86" s="13"/>
      <c r="T86" s="21">
        <f>+T20-T22+T84</f>
        <v>-62925.120126153794</v>
      </c>
      <c r="U86" s="13"/>
      <c r="V86" s="20">
        <f>IF(T$12=0,0,T86/T$12)</f>
        <v>-2.3946843294955205</v>
      </c>
      <c r="W86" s="16"/>
      <c r="X86" s="21">
        <f>+P86-T86</f>
        <v>16433.110126153784</v>
      </c>
      <c r="Y86" s="16"/>
      <c r="Z86" s="20">
        <f>IF(T86=0,0,X86/T86)</f>
        <v>-0.26115341684224502</v>
      </c>
    </row>
    <row r="87" spans="1:26" x14ac:dyDescent="0.3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52"/>
      <c r="B88" s="10" t="s">
        <v>128</v>
      </c>
      <c r="C88" s="10"/>
      <c r="D88" s="4"/>
      <c r="E88" s="4"/>
      <c r="F88" s="12">
        <f>IF(D$12=0,0,D88/D$12)</f>
        <v>0</v>
      </c>
      <c r="G88" s="4"/>
      <c r="H88" s="4">
        <v>2051</v>
      </c>
      <c r="I88" s="4"/>
      <c r="J88" s="12">
        <f>IF(H$12=0,0,H88/H$12)</f>
        <v>8.6129425103934829E-2</v>
      </c>
      <c r="K88" s="4"/>
      <c r="L88" s="4">
        <f>+D88-H88</f>
        <v>-2051</v>
      </c>
      <c r="M88" s="4"/>
      <c r="N88" s="12">
        <f>IF(H88=0,0,L88/H88)</f>
        <v>-1</v>
      </c>
      <c r="O88" s="10"/>
      <c r="P88" s="4"/>
      <c r="Q88" s="4"/>
      <c r="R88" s="12">
        <f>IF(P$12=0,0,P88/P$12)</f>
        <v>0</v>
      </c>
      <c r="S88" s="4"/>
      <c r="T88" s="4">
        <v>2943</v>
      </c>
      <c r="U88" s="4"/>
      <c r="V88" s="12">
        <f>IF(T$12=0,0,T88/T$12)</f>
        <v>0.1119990866537276</v>
      </c>
      <c r="W88" s="4"/>
      <c r="X88" s="4">
        <f>+P88-T88</f>
        <v>-2943</v>
      </c>
      <c r="Y88" s="4"/>
      <c r="Z88" s="12">
        <f>IF(T88=0,0,X88/T88)</f>
        <v>-1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35">
      <c r="A90" s="10"/>
      <c r="B90" s="26" t="s">
        <v>126</v>
      </c>
      <c r="C90" s="26"/>
      <c r="D90" s="30">
        <f>+D86-D88</f>
        <v>-24730.709999999995</v>
      </c>
      <c r="E90" s="13"/>
      <c r="F90" s="35">
        <f>IF(D$12=0,0,D90/D$12)</f>
        <v>0</v>
      </c>
      <c r="G90" s="13"/>
      <c r="H90" s="30">
        <f>+H86-H88</f>
        <v>-23271.144581538458</v>
      </c>
      <c r="I90" s="13"/>
      <c r="J90" s="35">
        <f>IF(H$12=0,0,H90/H$12)</f>
        <v>-0.9772453945970041</v>
      </c>
      <c r="K90" s="16"/>
      <c r="L90" s="30">
        <f>D90-H90</f>
        <v>-1459.5654184615378</v>
      </c>
      <c r="M90" s="16"/>
      <c r="N90" s="35">
        <f>IF(H90=0,0,L90/H90)</f>
        <v>6.2719966925023754E-2</v>
      </c>
      <c r="O90" s="25"/>
      <c r="P90" s="30">
        <f>+P86-P88</f>
        <v>-46492.010000000009</v>
      </c>
      <c r="Q90" s="13"/>
      <c r="R90" s="35">
        <f>IF(P$12=0,0,P90/P$12)</f>
        <v>0</v>
      </c>
      <c r="S90" s="13"/>
      <c r="T90" s="30">
        <f>+T86-T88</f>
        <v>-65868.120126153794</v>
      </c>
      <c r="U90" s="13"/>
      <c r="V90" s="35">
        <f>IF(T$12=0,0,T90/T$12)</f>
        <v>-2.5066834161492482</v>
      </c>
      <c r="W90" s="16"/>
      <c r="X90" s="30">
        <f>P90-T90</f>
        <v>19376.110126153784</v>
      </c>
      <c r="Y90" s="16"/>
      <c r="Z90" s="35">
        <f>IF(T90=0,0,X90/T90)</f>
        <v>-0.29416522118809107</v>
      </c>
    </row>
    <row r="91" spans="1:26" ht="15" thickTop="1" x14ac:dyDescent="0.3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294</v>
      </c>
      <c r="C93" s="26"/>
      <c r="D93" s="32">
        <f>SUM(D90:D92)</f>
        <v>-24730.709999999995</v>
      </c>
      <c r="E93" s="13"/>
      <c r="F93" s="34">
        <f>IF(D$12=0,0,D93/D$12)</f>
        <v>0</v>
      </c>
      <c r="G93" s="13"/>
      <c r="H93" s="32">
        <f>SUM(H90:H92)</f>
        <v>-23271.144581538458</v>
      </c>
      <c r="I93" s="13"/>
      <c r="J93" s="34">
        <f>IF(H$12=0,0,H93/H$12)</f>
        <v>-0.9772453945970041</v>
      </c>
      <c r="K93" s="16"/>
      <c r="L93" s="32">
        <f>+D93-H93</f>
        <v>-1459.5654184615378</v>
      </c>
      <c r="M93" s="16"/>
      <c r="N93" s="34">
        <f>IF(H93=0,0,L93/H93)</f>
        <v>6.2719966925023754E-2</v>
      </c>
      <c r="O93" s="25"/>
      <c r="P93" s="32">
        <f>SUM(P90:P92)</f>
        <v>-46492.010000000009</v>
      </c>
      <c r="Q93" s="13"/>
      <c r="R93" s="34">
        <f>IF(P$12=0,0,P93/P$12)</f>
        <v>0</v>
      </c>
      <c r="S93" s="13"/>
      <c r="T93" s="32">
        <f>SUM(T90:T92)</f>
        <v>-65868.120126153794</v>
      </c>
      <c r="U93" s="13"/>
      <c r="V93" s="34">
        <f>IF(T$12=0,0,T93/T$12)</f>
        <v>-2.5066834161492482</v>
      </c>
      <c r="W93" s="16"/>
      <c r="X93" s="32">
        <f>+P93-T93</f>
        <v>19376.110126153784</v>
      </c>
      <c r="Y93" s="16"/>
      <c r="Z93" s="34">
        <f>IF(T93=0,0,X93/T93)</f>
        <v>-0.29416522118809107</v>
      </c>
    </row>
    <row r="94" spans="1:26" ht="15" thickTop="1" x14ac:dyDescent="0.3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A95" s="9"/>
      <c r="B95" s="61">
        <v>44470.835499687499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A96" s="9"/>
      <c r="B96" s="58" t="s">
        <v>56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55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218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","423", " - ", "Contract/Vending Revenue")</f>
        <v>Department 423 - Contract/Vending Revenue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7811.88</v>
      </c>
      <c r="E18" s="22"/>
      <c r="F18" s="31">
        <f t="shared" ref="F18:F27" si="0">IF(D$12=0,0,D18/D$12)</f>
        <v>0</v>
      </c>
      <c r="G18" s="22"/>
      <c r="H18" s="22">
        <f>SUM(OSRRefH22x_0)</f>
        <v>0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7811.88</v>
      </c>
      <c r="M18" s="4"/>
      <c r="N18" s="31">
        <f t="shared" ref="N18:N27" si="3">IF(H18=0,0,L18/H18)</f>
        <v>0</v>
      </c>
      <c r="O18" s="10"/>
      <c r="P18" s="22">
        <f>SUM(OSRRefP22x_0)</f>
        <v>7893.01</v>
      </c>
      <c r="Q18" s="22"/>
      <c r="R18" s="31">
        <f t="shared" ref="R18:R27" si="4">IF(P$12=0,0,P18/P$12)</f>
        <v>0</v>
      </c>
      <c r="S18" s="22"/>
      <c r="T18" s="22">
        <f>SUM(OSRRefT22x_0)</f>
        <v>0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7893.01</v>
      </c>
      <c r="Y18" s="4"/>
      <c r="Z18" s="31">
        <f t="shared" ref="Z18:Z27" si="7">IF(T18=0,0,X18/T18)</f>
        <v>0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0</v>
      </c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0</v>
      </c>
      <c r="U20" s="2"/>
      <c r="V20" s="7">
        <f t="shared" si="5"/>
        <v>0</v>
      </c>
      <c r="W20" s="2"/>
      <c r="X20" s="6">
        <f t="shared" si="6"/>
        <v>0</v>
      </c>
      <c r="Y20" s="2"/>
      <c r="Z20" s="7">
        <f t="shared" si="7"/>
        <v>0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0</v>
      </c>
      <c r="Y21" s="2"/>
      <c r="Z21" s="7">
        <f t="shared" si="7"/>
        <v>0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0</v>
      </c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/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0</v>
      </c>
      <c r="Y23" s="2"/>
      <c r="Z23" s="7">
        <f t="shared" si="7"/>
        <v>0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0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/>
      <c r="Q26" s="2"/>
      <c r="R26" s="7">
        <f t="shared" si="4"/>
        <v>0</v>
      </c>
      <c r="S26" s="2"/>
      <c r="T26" s="6">
        <v>0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0</v>
      </c>
      <c r="Y27" s="2"/>
      <c r="Z27" s="7">
        <f t="shared" si="7"/>
        <v>0</v>
      </c>
    </row>
    <row r="28" spans="1:26" s="28" customFormat="1" outlineLevel="1" collapsed="1" x14ac:dyDescent="0.3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0</v>
      </c>
      <c r="I28" s="1"/>
      <c r="J28" s="5">
        <f t="shared" ref="J28:J38" si="9">IF(H$12=0,0,H28/H$12)</f>
        <v>0</v>
      </c>
      <c r="K28" s="1"/>
      <c r="L28" s="1">
        <f t="shared" ref="L28:L38" si="10">+D28-H28</f>
        <v>0</v>
      </c>
      <c r="M28" s="1"/>
      <c r="N28" s="5">
        <f t="shared" ref="N28:N38" si="11">IF(H28=0,0,L28/H28)</f>
        <v>0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0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0</v>
      </c>
      <c r="Y28" s="1"/>
      <c r="Z28" s="5">
        <f t="shared" ref="Z28:Z38" si="15">IF(T28=0,0,X28/T28)</f>
        <v>0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0</v>
      </c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/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3">
      <c r="A31" s="27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3">
      <c r="A32" s="27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8" customFormat="1" outlineLevel="1" collapsed="1" x14ac:dyDescent="0.3">
      <c r="A39" s="29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7489.93</v>
      </c>
      <c r="E39" s="1"/>
      <c r="F39" s="5">
        <f t="shared" ref="F39:F46" si="16">IF(D$12=0,0,D39/D$12)</f>
        <v>0</v>
      </c>
      <c r="G39" s="1"/>
      <c r="H39" s="1">
        <f>SUM(OSRRefH22_2x_0)</f>
        <v>0</v>
      </c>
      <c r="I39" s="1"/>
      <c r="J39" s="5">
        <f t="shared" ref="J39:J46" si="17">IF(H$12=0,0,H39/H$12)</f>
        <v>0</v>
      </c>
      <c r="K39" s="1"/>
      <c r="L39" s="1">
        <f t="shared" ref="L39:L46" si="18">+D39-H39</f>
        <v>7489.93</v>
      </c>
      <c r="M39" s="1"/>
      <c r="N39" s="5">
        <f t="shared" ref="N39:N46" si="19">IF(H39=0,0,L39/H39)</f>
        <v>0</v>
      </c>
      <c r="O39" s="14"/>
      <c r="P39" s="1">
        <f>SUM(OSRRefP22_2x_0)</f>
        <v>7489.93</v>
      </c>
      <c r="Q39" s="1"/>
      <c r="R39" s="5">
        <f t="shared" ref="R39:R46" si="20">IF(P$12=0,0,P39/P$12)</f>
        <v>0</v>
      </c>
      <c r="S39" s="1"/>
      <c r="T39" s="1">
        <f>SUM(OSRRefT22_2x_0)</f>
        <v>0</v>
      </c>
      <c r="U39" s="1"/>
      <c r="V39" s="5">
        <f t="shared" ref="V39:V46" si="21">IF(T$12=0,0,T39/T$12)</f>
        <v>0</v>
      </c>
      <c r="W39" s="1"/>
      <c r="X39" s="1">
        <f t="shared" ref="X39:X46" si="22">+P39-T39</f>
        <v>7489.93</v>
      </c>
      <c r="Y39" s="1"/>
      <c r="Z39" s="5">
        <f t="shared" ref="Z39:Z46" si="23">IF(T39=0,0,X39/T39)</f>
        <v>0</v>
      </c>
    </row>
    <row r="40" spans="1:26" s="24" customFormat="1" hidden="1" outlineLevel="2" x14ac:dyDescent="0.3">
      <c r="A40" s="27"/>
      <c r="B40" s="11" t="str">
        <f>CONCATENATE("          ", "6279", " - ", "GENERAL EXPENSE")</f>
        <v xml:space="preserve">          6279 - GENERAL EXPENSE</v>
      </c>
      <c r="C40" s="11"/>
      <c r="D40" s="6">
        <v>7489.93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7489.93</v>
      </c>
      <c r="M40" s="2"/>
      <c r="N40" s="7">
        <f t="shared" si="19"/>
        <v>0</v>
      </c>
      <c r="O40" s="11"/>
      <c r="P40" s="6">
        <v>7489.93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7489.93</v>
      </c>
      <c r="Y40" s="2"/>
      <c r="Z40" s="7">
        <f t="shared" si="23"/>
        <v>0</v>
      </c>
    </row>
    <row r="41" spans="1:26" s="28" customFormat="1" outlineLevel="1" collapsed="1" x14ac:dyDescent="0.3">
      <c r="A41" s="29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3">
      <c r="A42" s="27"/>
      <c r="B42" s="11" t="str">
        <f>CONCATENATE("          ", "6284", " - ", "TRASH REMOVAL EXPENSE")</f>
        <v xml:space="preserve">          6284 - TRASH REMOVAL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0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8" customFormat="1" outlineLevel="1" collapsed="1" x14ac:dyDescent="0.3">
      <c r="A43" s="29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SUM(OSRRefD22_4x_0)</f>
        <v>253.45</v>
      </c>
      <c r="E43" s="1"/>
      <c r="F43" s="5">
        <f t="shared" si="16"/>
        <v>0</v>
      </c>
      <c r="G43" s="1"/>
      <c r="H43" s="1">
        <f>SUM(OSRRefH22_4x_0)</f>
        <v>0</v>
      </c>
      <c r="I43" s="1"/>
      <c r="J43" s="5">
        <f t="shared" si="17"/>
        <v>0</v>
      </c>
      <c r="K43" s="1"/>
      <c r="L43" s="1">
        <f t="shared" si="18"/>
        <v>253.45</v>
      </c>
      <c r="M43" s="1"/>
      <c r="N43" s="5">
        <f t="shared" si="19"/>
        <v>0</v>
      </c>
      <c r="O43" s="14"/>
      <c r="P43" s="1">
        <f>SUM(OSRRefP22_4x_0)</f>
        <v>498.58</v>
      </c>
      <c r="Q43" s="1"/>
      <c r="R43" s="5">
        <f t="shared" si="20"/>
        <v>0</v>
      </c>
      <c r="S43" s="1"/>
      <c r="T43" s="1">
        <f>SUM(OSRRefT22_4x_0)</f>
        <v>0</v>
      </c>
      <c r="U43" s="1"/>
      <c r="V43" s="5">
        <f t="shared" si="21"/>
        <v>0</v>
      </c>
      <c r="W43" s="1"/>
      <c r="X43" s="1">
        <f t="shared" si="22"/>
        <v>498.58</v>
      </c>
      <c r="Y43" s="1"/>
      <c r="Z43" s="5">
        <f t="shared" si="23"/>
        <v>0</v>
      </c>
    </row>
    <row r="44" spans="1:26" s="24" customFormat="1" hidden="1" outlineLevel="2" x14ac:dyDescent="0.3">
      <c r="A44" s="27"/>
      <c r="B44" s="11" t="str">
        <f>CONCATENATE("          ", "6241", " - ", "OFFICE EXPENSE")</f>
        <v xml:space="preserve">          6241 - OFFICE EXPENSE</v>
      </c>
      <c r="C44" s="11"/>
      <c r="D44" s="6">
        <v>253.45</v>
      </c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253.45</v>
      </c>
      <c r="M44" s="2"/>
      <c r="N44" s="7">
        <f t="shared" si="19"/>
        <v>0</v>
      </c>
      <c r="O44" s="11"/>
      <c r="P44" s="6">
        <v>498.58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498.58</v>
      </c>
      <c r="Y44" s="2"/>
      <c r="Z44" s="7">
        <f t="shared" si="23"/>
        <v>0</v>
      </c>
    </row>
    <row r="45" spans="1:26" s="28" customFormat="1" outlineLevel="1" collapsed="1" x14ac:dyDescent="0.3">
      <c r="A45" s="29"/>
      <c r="B45" s="14" t="str">
        <f>CONCATENATE("     ","Telephone/Data Lines                              ")</f>
        <v xml:space="preserve">     Telephone/Data Lines                              </v>
      </c>
      <c r="C45" s="14"/>
      <c r="D45" s="1">
        <f>SUM(OSRRefD22_5x_0)</f>
        <v>68.5</v>
      </c>
      <c r="E45" s="1"/>
      <c r="F45" s="5">
        <f t="shared" si="16"/>
        <v>0</v>
      </c>
      <c r="G45" s="1"/>
      <c r="H45" s="1">
        <f>SUM(OSRRefH22_5x_0)</f>
        <v>0</v>
      </c>
      <c r="I45" s="1"/>
      <c r="J45" s="5">
        <f t="shared" si="17"/>
        <v>0</v>
      </c>
      <c r="K45" s="1"/>
      <c r="L45" s="1">
        <f t="shared" si="18"/>
        <v>68.5</v>
      </c>
      <c r="M45" s="1"/>
      <c r="N45" s="5">
        <f t="shared" si="19"/>
        <v>0</v>
      </c>
      <c r="O45" s="14"/>
      <c r="P45" s="1">
        <f>SUM(OSRRefP22_5x_0)</f>
        <v>-95.5</v>
      </c>
      <c r="Q45" s="1"/>
      <c r="R45" s="5">
        <f t="shared" si="20"/>
        <v>0</v>
      </c>
      <c r="S45" s="1"/>
      <c r="T45" s="1">
        <f>SUM(OSRRefT22_5x_0)</f>
        <v>0</v>
      </c>
      <c r="U45" s="1"/>
      <c r="V45" s="5">
        <f t="shared" si="21"/>
        <v>0</v>
      </c>
      <c r="W45" s="1"/>
      <c r="X45" s="1">
        <f t="shared" si="22"/>
        <v>-95.5</v>
      </c>
      <c r="Y45" s="1"/>
      <c r="Z45" s="5">
        <f t="shared" si="23"/>
        <v>0</v>
      </c>
    </row>
    <row r="46" spans="1:26" s="24" customFormat="1" hidden="1" outlineLevel="2" x14ac:dyDescent="0.3">
      <c r="A46" s="27"/>
      <c r="B46" s="11" t="str">
        <f>CONCATENATE("          ", "6309", " - ", "TELEPHONE")</f>
        <v xml:space="preserve">          6309 - TELEPHONE</v>
      </c>
      <c r="C46" s="11"/>
      <c r="D46" s="6">
        <v>68.5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68.5</v>
      </c>
      <c r="M46" s="2"/>
      <c r="N46" s="7">
        <f t="shared" si="19"/>
        <v>0</v>
      </c>
      <c r="O46" s="11"/>
      <c r="P46" s="6">
        <v>-95.5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-95.5</v>
      </c>
      <c r="Y46" s="2"/>
      <c r="Z46" s="7">
        <f t="shared" si="23"/>
        <v>0</v>
      </c>
    </row>
    <row r="47" spans="1:26" s="53" customFormat="1" x14ac:dyDescent="0.3">
      <c r="A47" s="36"/>
      <c r="B47" s="36"/>
      <c r="C47" s="36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3">
      <c r="A48" s="10"/>
      <c r="B48" s="25" t="s">
        <v>293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10"/>
      <c r="B50" s="26" t="s">
        <v>277</v>
      </c>
      <c r="C50" s="26"/>
      <c r="D50" s="21">
        <f>+D16-D18+D48</f>
        <v>-7811.88</v>
      </c>
      <c r="E50" s="13"/>
      <c r="F50" s="20">
        <f>IF(D$12=0,0,D50/D$12)</f>
        <v>0</v>
      </c>
      <c r="G50" s="13"/>
      <c r="H50" s="21">
        <f>+H16-H18+H48</f>
        <v>0</v>
      </c>
      <c r="I50" s="13"/>
      <c r="J50" s="20">
        <f>IF(H$12=0,0,H50/H$12)</f>
        <v>0</v>
      </c>
      <c r="K50" s="16"/>
      <c r="L50" s="21">
        <f>+D50-H50</f>
        <v>-7811.88</v>
      </c>
      <c r="M50" s="16"/>
      <c r="N50" s="20">
        <f>IF(H50=0,0,L50/H50)</f>
        <v>0</v>
      </c>
      <c r="O50" s="25"/>
      <c r="P50" s="21">
        <f>+P16-P18+P48</f>
        <v>-7893.01</v>
      </c>
      <c r="Q50" s="13"/>
      <c r="R50" s="20">
        <f>IF(P$12=0,0,P50/P$12)</f>
        <v>0</v>
      </c>
      <c r="S50" s="13"/>
      <c r="T50" s="21">
        <f>+T16-T18+T48</f>
        <v>0</v>
      </c>
      <c r="U50" s="13"/>
      <c r="V50" s="20">
        <f>IF(T$12=0,0,T50/T$12)</f>
        <v>0</v>
      </c>
      <c r="W50" s="16"/>
      <c r="X50" s="21">
        <f>+P50-T50</f>
        <v>-7893.01</v>
      </c>
      <c r="Y50" s="16"/>
      <c r="Z50" s="20">
        <f>IF(T50=0,0,X50/T50)</f>
        <v>0</v>
      </c>
    </row>
    <row r="51" spans="1:26" x14ac:dyDescent="0.3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3">
      <c r="A52" s="52"/>
      <c r="B52" s="10" t="s">
        <v>128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3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" thickBot="1" x14ac:dyDescent="0.35">
      <c r="A54" s="10"/>
      <c r="B54" s="26" t="s">
        <v>126</v>
      </c>
      <c r="C54" s="26"/>
      <c r="D54" s="30">
        <f>+D50-D52</f>
        <v>-7811.88</v>
      </c>
      <c r="E54" s="13"/>
      <c r="F54" s="35">
        <f>IF(D$12=0,0,D54/D$12)</f>
        <v>0</v>
      </c>
      <c r="G54" s="13"/>
      <c r="H54" s="30">
        <f>+H50-H52</f>
        <v>0</v>
      </c>
      <c r="I54" s="13"/>
      <c r="J54" s="35">
        <f>IF(H$12=0,0,H54/H$12)</f>
        <v>0</v>
      </c>
      <c r="K54" s="16"/>
      <c r="L54" s="30">
        <f>D54-H54</f>
        <v>-7811.88</v>
      </c>
      <c r="M54" s="16"/>
      <c r="N54" s="35">
        <f>IF(H54=0,0,L54/H54)</f>
        <v>0</v>
      </c>
      <c r="O54" s="25"/>
      <c r="P54" s="30">
        <f>+P50-P52</f>
        <v>-7893.01</v>
      </c>
      <c r="Q54" s="13"/>
      <c r="R54" s="35">
        <f>IF(P$12=0,0,P54/P$12)</f>
        <v>0</v>
      </c>
      <c r="S54" s="13"/>
      <c r="T54" s="30">
        <f>+T50-T52</f>
        <v>0</v>
      </c>
      <c r="U54" s="13"/>
      <c r="V54" s="35">
        <f>IF(T$12=0,0,T54/T$12)</f>
        <v>0</v>
      </c>
      <c r="W54" s="16"/>
      <c r="X54" s="30">
        <f>P54-T54</f>
        <v>-7893.01</v>
      </c>
      <c r="Y54" s="16"/>
      <c r="Z54" s="35">
        <f>IF(T54=0,0,X54/T54)</f>
        <v>0</v>
      </c>
    </row>
    <row r="55" spans="1:26" ht="15" thickTop="1" x14ac:dyDescent="0.3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3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" thickBot="1" x14ac:dyDescent="0.35">
      <c r="A57" s="10"/>
      <c r="B57" s="26" t="s">
        <v>294</v>
      </c>
      <c r="C57" s="26"/>
      <c r="D57" s="32">
        <f>SUM(D54:D56)</f>
        <v>-7811.88</v>
      </c>
      <c r="E57" s="13"/>
      <c r="F57" s="34">
        <f>IF(D$12=0,0,D57/D$12)</f>
        <v>0</v>
      </c>
      <c r="G57" s="13"/>
      <c r="H57" s="32">
        <f>SUM(H54:H56)</f>
        <v>0</v>
      </c>
      <c r="I57" s="13"/>
      <c r="J57" s="34">
        <f>IF(H$12=0,0,H57/H$12)</f>
        <v>0</v>
      </c>
      <c r="K57" s="16"/>
      <c r="L57" s="32">
        <f>+D57-H57</f>
        <v>-7811.88</v>
      </c>
      <c r="M57" s="16"/>
      <c r="N57" s="34">
        <f>IF(H57=0,0,L57/H57)</f>
        <v>0</v>
      </c>
      <c r="O57" s="25"/>
      <c r="P57" s="32">
        <f>SUM(P54:P56)</f>
        <v>-7893.01</v>
      </c>
      <c r="Q57" s="13"/>
      <c r="R57" s="34">
        <f>IF(P$12=0,0,P57/P$12)</f>
        <v>0</v>
      </c>
      <c r="S57" s="13"/>
      <c r="T57" s="32">
        <f>SUM(T54:T56)</f>
        <v>0</v>
      </c>
      <c r="U57" s="13"/>
      <c r="V57" s="34">
        <f>IF(T$12=0,0,T57/T$12)</f>
        <v>0</v>
      </c>
      <c r="W57" s="16"/>
      <c r="X57" s="32">
        <f>+P57-T57</f>
        <v>-7893.01</v>
      </c>
      <c r="Y57" s="16"/>
      <c r="Z57" s="34">
        <f>IF(T57=0,0,X57/T57)</f>
        <v>0</v>
      </c>
    </row>
    <row r="58" spans="1:26" ht="15" thickTop="1" x14ac:dyDescent="0.3">
      <c r="A58" s="9"/>
      <c r="C58" s="9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3">
      <c r="A59" s="9"/>
      <c r="B59" s="61">
        <v>44470.835499687499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3">
      <c r="A60" s="9"/>
      <c r="B60" s="58" t="s">
        <v>56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3">
      <c r="A61" s="9"/>
      <c r="B61" s="55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3"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","424", " - ", "Blair Field")</f>
        <v>Department 424 - Blair Field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479.29</v>
      </c>
      <c r="E18" s="22"/>
      <c r="F18" s="31">
        <f t="shared" ref="F18:F22" si="0">IF(D$12=0,0,D18/D$12)</f>
        <v>0</v>
      </c>
      <c r="G18" s="22"/>
      <c r="H18" s="22">
        <f>SUM(OSRRefH22x_0)</f>
        <v>479</v>
      </c>
      <c r="I18" s="22"/>
      <c r="J18" s="31">
        <f t="shared" ref="J18:J22" si="1">IF(H$12=0,0,H18/H$12)</f>
        <v>0</v>
      </c>
      <c r="K18" s="4"/>
      <c r="L18" s="22">
        <f t="shared" ref="L18:L22" si="2">+D18-H18</f>
        <v>0.29000000000002046</v>
      </c>
      <c r="M18" s="4"/>
      <c r="N18" s="31">
        <f t="shared" ref="N18:N22" si="3">IF(H18=0,0,L18/H18)</f>
        <v>6.054279749478506E-4</v>
      </c>
      <c r="O18" s="10"/>
      <c r="P18" s="22">
        <f>SUM(OSRRefP22x_0)</f>
        <v>958.58</v>
      </c>
      <c r="Q18" s="22"/>
      <c r="R18" s="31">
        <f t="shared" ref="R18:R22" si="4">IF(P$12=0,0,P18/P$12)</f>
        <v>0</v>
      </c>
      <c r="S18" s="22"/>
      <c r="T18" s="22">
        <f>SUM(OSRRefT22x_0)</f>
        <v>958</v>
      </c>
      <c r="U18" s="22"/>
      <c r="V18" s="31">
        <f t="shared" ref="V18:V22" si="5">IF(T$12=0,0,T18/T$12)</f>
        <v>0</v>
      </c>
      <c r="W18" s="4"/>
      <c r="X18" s="22">
        <f t="shared" ref="X18:X22" si="6">+P18-T18</f>
        <v>0.58000000000004093</v>
      </c>
      <c r="Y18" s="4"/>
      <c r="Z18" s="31">
        <f t="shared" ref="Z18:Z22" si="7">IF(T18=0,0,X18/T18)</f>
        <v>6.054279749478506E-4</v>
      </c>
    </row>
    <row r="19" spans="1:26" s="28" customFormat="1" outlineLevel="1" collapsed="1" x14ac:dyDescent="0.3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958.58</v>
      </c>
      <c r="Q19" s="1"/>
      <c r="R19" s="5">
        <f t="shared" si="4"/>
        <v>0</v>
      </c>
      <c r="S19" s="1"/>
      <c r="T19" s="1">
        <f>SUM(OSRRefT22_0x_0)</f>
        <v>958</v>
      </c>
      <c r="U19" s="1"/>
      <c r="V19" s="5">
        <f t="shared" si="5"/>
        <v>0</v>
      </c>
      <c r="W19" s="1"/>
      <c r="X19" s="1">
        <f t="shared" si="6"/>
        <v>0.58000000000004093</v>
      </c>
      <c r="Y19" s="1"/>
      <c r="Z19" s="5">
        <f t="shared" si="7"/>
        <v>6.054279749478506E-4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479.29</v>
      </c>
      <c r="E20" s="2"/>
      <c r="F20" s="7">
        <f t="shared" si="0"/>
        <v>0</v>
      </c>
      <c r="G20" s="2"/>
      <c r="H20" s="6">
        <v>479</v>
      </c>
      <c r="I20" s="2"/>
      <c r="J20" s="7">
        <f t="shared" si="1"/>
        <v>0</v>
      </c>
      <c r="K20" s="2"/>
      <c r="L20" s="6">
        <f t="shared" si="2"/>
        <v>0.29000000000002046</v>
      </c>
      <c r="M20" s="2"/>
      <c r="N20" s="7">
        <f t="shared" si="3"/>
        <v>6.054279749478506E-4</v>
      </c>
      <c r="O20" s="11"/>
      <c r="P20" s="6">
        <v>958.58</v>
      </c>
      <c r="Q20" s="2"/>
      <c r="R20" s="7">
        <f t="shared" si="4"/>
        <v>0</v>
      </c>
      <c r="S20" s="2"/>
      <c r="T20" s="6">
        <v>958</v>
      </c>
      <c r="U20" s="2"/>
      <c r="V20" s="7">
        <f t="shared" si="5"/>
        <v>0</v>
      </c>
      <c r="W20" s="2"/>
      <c r="X20" s="6">
        <f t="shared" si="6"/>
        <v>0.58000000000004093</v>
      </c>
      <c r="Y20" s="2"/>
      <c r="Z20" s="7">
        <f t="shared" si="7"/>
        <v>6.054279749478506E-4</v>
      </c>
    </row>
    <row r="21" spans="1:26" s="28" customFormat="1" outlineLevel="1" collapsed="1" x14ac:dyDescent="0.3">
      <c r="A21" s="29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"6284", " - ", "TRASH REMOVAL EXPENSE")</f>
        <v xml:space="preserve">          6284 - TRASH REMOVAL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0</v>
      </c>
      <c r="Y22" s="2"/>
      <c r="Z22" s="7">
        <f t="shared" si="7"/>
        <v>0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10"/>
      <c r="B26" s="26" t="s">
        <v>277</v>
      </c>
      <c r="C26" s="26"/>
      <c r="D26" s="21">
        <f>+D16-D18+D24</f>
        <v>-479.29</v>
      </c>
      <c r="E26" s="13"/>
      <c r="F26" s="20">
        <f>IF(D$12=0,0,D26/D$12)</f>
        <v>0</v>
      </c>
      <c r="G26" s="13"/>
      <c r="H26" s="21">
        <f>+H16-H18+H24</f>
        <v>-479</v>
      </c>
      <c r="I26" s="13"/>
      <c r="J26" s="20">
        <f>IF(H$12=0,0,H26/H$12)</f>
        <v>0</v>
      </c>
      <c r="K26" s="16"/>
      <c r="L26" s="21">
        <f>+D26-H26</f>
        <v>-0.29000000000002046</v>
      </c>
      <c r="M26" s="16"/>
      <c r="N26" s="20">
        <f>IF(H26=0,0,L26/H26)</f>
        <v>6.054279749478506E-4</v>
      </c>
      <c r="O26" s="25"/>
      <c r="P26" s="21">
        <f>+P16-P18+P24</f>
        <v>-958.58</v>
      </c>
      <c r="Q26" s="13"/>
      <c r="R26" s="20">
        <f>IF(P$12=0,0,P26/P$12)</f>
        <v>0</v>
      </c>
      <c r="S26" s="13"/>
      <c r="T26" s="21">
        <f>+T16-T18+T24</f>
        <v>-958</v>
      </c>
      <c r="U26" s="13"/>
      <c r="V26" s="20">
        <f>IF(T$12=0,0,T26/T$12)</f>
        <v>0</v>
      </c>
      <c r="W26" s="16"/>
      <c r="X26" s="21">
        <f>+P26-T26</f>
        <v>-0.58000000000004093</v>
      </c>
      <c r="Y26" s="16"/>
      <c r="Z26" s="20">
        <f>IF(T26=0,0,X26/T26)</f>
        <v>6.054279749478506E-4</v>
      </c>
    </row>
    <row r="27" spans="1:26" x14ac:dyDescent="0.3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" thickBot="1" x14ac:dyDescent="0.35">
      <c r="A30" s="10"/>
      <c r="B30" s="26" t="s">
        <v>126</v>
      </c>
      <c r="C30" s="26"/>
      <c r="D30" s="30">
        <f>+D26-D28</f>
        <v>-479.29</v>
      </c>
      <c r="E30" s="13"/>
      <c r="F30" s="35">
        <f>IF(D$12=0,0,D30/D$12)</f>
        <v>0</v>
      </c>
      <c r="G30" s="13"/>
      <c r="H30" s="30">
        <f>+H26-H28</f>
        <v>-479</v>
      </c>
      <c r="I30" s="13"/>
      <c r="J30" s="35">
        <f>IF(H$12=0,0,H30/H$12)</f>
        <v>0</v>
      </c>
      <c r="K30" s="16"/>
      <c r="L30" s="30">
        <f>D30-H30</f>
        <v>-0.29000000000002046</v>
      </c>
      <c r="M30" s="16"/>
      <c r="N30" s="35">
        <f>IF(H30=0,0,L30/H30)</f>
        <v>6.054279749478506E-4</v>
      </c>
      <c r="O30" s="25"/>
      <c r="P30" s="30">
        <f>+P26-P28</f>
        <v>-958.58</v>
      </c>
      <c r="Q30" s="13"/>
      <c r="R30" s="35">
        <f>IF(P$12=0,0,P30/P$12)</f>
        <v>0</v>
      </c>
      <c r="S30" s="13"/>
      <c r="T30" s="30">
        <f>+T26-T28</f>
        <v>-958</v>
      </c>
      <c r="U30" s="13"/>
      <c r="V30" s="35">
        <f>IF(T$12=0,0,T30/T$12)</f>
        <v>0</v>
      </c>
      <c r="W30" s="16"/>
      <c r="X30" s="30">
        <f>P30-T30</f>
        <v>-0.58000000000004093</v>
      </c>
      <c r="Y30" s="16"/>
      <c r="Z30" s="35">
        <f>IF(T30=0,0,X30/T30)</f>
        <v>6.054279749478506E-4</v>
      </c>
    </row>
    <row r="31" spans="1:26" ht="15" thickTop="1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6" t="s">
        <v>294</v>
      </c>
      <c r="C33" s="26"/>
      <c r="D33" s="32">
        <f>SUM(D30:D32)</f>
        <v>-479.29</v>
      </c>
      <c r="E33" s="13"/>
      <c r="F33" s="34">
        <f>IF(D$12=0,0,D33/D$12)</f>
        <v>0</v>
      </c>
      <c r="G33" s="13"/>
      <c r="H33" s="32">
        <f>SUM(H30:H32)</f>
        <v>-479</v>
      </c>
      <c r="I33" s="13"/>
      <c r="J33" s="34">
        <f>IF(H$12=0,0,H33/H$12)</f>
        <v>0</v>
      </c>
      <c r="K33" s="16"/>
      <c r="L33" s="32">
        <f>+D33-H33</f>
        <v>-0.29000000000002046</v>
      </c>
      <c r="M33" s="16"/>
      <c r="N33" s="34">
        <f>IF(H33=0,0,L33/H33)</f>
        <v>6.054279749478506E-4</v>
      </c>
      <c r="O33" s="25"/>
      <c r="P33" s="32">
        <f>SUM(P30:P32)</f>
        <v>-958.58</v>
      </c>
      <c r="Q33" s="13"/>
      <c r="R33" s="34">
        <f>IF(P$12=0,0,P33/P$12)</f>
        <v>0</v>
      </c>
      <c r="S33" s="13"/>
      <c r="T33" s="32">
        <f>SUM(T30:T32)</f>
        <v>-958</v>
      </c>
      <c r="U33" s="13"/>
      <c r="V33" s="34">
        <f>IF(T$12=0,0,T33/T$12)</f>
        <v>0</v>
      </c>
      <c r="W33" s="16"/>
      <c r="X33" s="32">
        <f>+P33-T33</f>
        <v>-0.58000000000004093</v>
      </c>
      <c r="Y33" s="16"/>
      <c r="Z33" s="34">
        <f>IF(T33=0,0,X33/T33)</f>
        <v>6.054279749478506E-4</v>
      </c>
    </row>
    <row r="34" spans="1:26" ht="15" thickTop="1" x14ac:dyDescent="0.3">
      <c r="A34" s="9"/>
      <c r="C34" s="9"/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6" x14ac:dyDescent="0.3">
      <c r="A35" s="9"/>
      <c r="B35" s="61">
        <v>44470.835499687499</v>
      </c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6" x14ac:dyDescent="0.3">
      <c r="A36" s="9"/>
      <c r="B36" s="58" t="s">
        <v>56</v>
      </c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55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","425", " - ", "Events Center")</f>
        <v>Department 425 - Events Center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5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-1034.73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-1034.73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-1034.73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-1034.73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1">
        <f>D12-D14</f>
        <v>0</v>
      </c>
      <c r="E17" s="13"/>
      <c r="F17" s="20">
        <f>IF(D$12=0,0,D17/D$12)</f>
        <v>0</v>
      </c>
      <c r="G17" s="13"/>
      <c r="H17" s="21">
        <f>H12-H14</f>
        <v>0</v>
      </c>
      <c r="I17" s="13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5"/>
      <c r="P17" s="21">
        <f>P12-P14</f>
        <v>1034.73</v>
      </c>
      <c r="Q17" s="13"/>
      <c r="R17" s="20">
        <f>IF(P$12=0,0,P17/P$12)</f>
        <v>0</v>
      </c>
      <c r="S17" s="13"/>
      <c r="T17" s="21">
        <f>T12-T14</f>
        <v>0</v>
      </c>
      <c r="U17" s="13"/>
      <c r="V17" s="20">
        <f>IF(T$12=0,0,T17/T$12)</f>
        <v>0</v>
      </c>
      <c r="W17" s="16"/>
      <c r="X17" s="21">
        <f>+P17-T17</f>
        <v>1034.73</v>
      </c>
      <c r="Y17" s="16"/>
      <c r="Z17" s="20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2">
        <f>SUM(OSRRefD22x_0)</f>
        <v>1000.91</v>
      </c>
      <c r="E19" s="22"/>
      <c r="F19" s="31">
        <f t="shared" ref="F19:F23" si="8">IF(D$12=0,0,D19/D$12)</f>
        <v>0</v>
      </c>
      <c r="G19" s="22"/>
      <c r="H19" s="22">
        <f>SUM(OSRRefH22x_0)</f>
        <v>1001</v>
      </c>
      <c r="I19" s="22"/>
      <c r="J19" s="31">
        <f t="shared" ref="J19:J23" si="9">IF(H$12=0,0,H19/H$12)</f>
        <v>0</v>
      </c>
      <c r="K19" s="4"/>
      <c r="L19" s="22">
        <f t="shared" ref="L19:L23" si="10">+D19-H19</f>
        <v>-9.0000000000031832E-2</v>
      </c>
      <c r="M19" s="4"/>
      <c r="N19" s="31">
        <f t="shared" ref="N19:N23" si="11">IF(H19=0,0,L19/H19)</f>
        <v>-8.9910089910121704E-5</v>
      </c>
      <c r="O19" s="10"/>
      <c r="P19" s="22">
        <f>SUM(OSRRefP22x_0)</f>
        <v>2001.82</v>
      </c>
      <c r="Q19" s="22"/>
      <c r="R19" s="31">
        <f t="shared" ref="R19:R23" si="12">IF(P$12=0,0,P19/P$12)</f>
        <v>0</v>
      </c>
      <c r="S19" s="22"/>
      <c r="T19" s="22">
        <f>SUM(OSRRefT22x_0)</f>
        <v>2002</v>
      </c>
      <c r="U19" s="22"/>
      <c r="V19" s="31">
        <f t="shared" ref="V19:V23" si="13">IF(T$12=0,0,T19/T$12)</f>
        <v>0</v>
      </c>
      <c r="W19" s="4"/>
      <c r="X19" s="22">
        <f t="shared" ref="X19:X23" si="14">+P19-T19</f>
        <v>-0.18000000000006366</v>
      </c>
      <c r="Y19" s="4"/>
      <c r="Z19" s="31">
        <f t="shared" ref="Z19:Z23" si="15">IF(T19=0,0,X19/T19)</f>
        <v>-8.9910089910121704E-5</v>
      </c>
    </row>
    <row r="20" spans="1:26" s="28" customFormat="1" outlineLevel="1" collapsed="1" x14ac:dyDescent="0.3">
      <c r="A20" s="29"/>
      <c r="B20" s="14" t="str">
        <f>CONCATENATE("     ","Depreciation                                      ")</f>
        <v xml:space="preserve">     Depreciation                                      </v>
      </c>
      <c r="C20" s="14"/>
      <c r="D20" s="1">
        <f>SUM(OSRRefD22_0x_0)</f>
        <v>1000.91</v>
      </c>
      <c r="E20" s="1"/>
      <c r="F20" s="5">
        <f t="shared" si="8"/>
        <v>0</v>
      </c>
      <c r="G20" s="1"/>
      <c r="H20" s="1">
        <f>SUM(OSRRefH22_0x_0)</f>
        <v>1001</v>
      </c>
      <c r="I20" s="1"/>
      <c r="J20" s="5">
        <f t="shared" si="9"/>
        <v>0</v>
      </c>
      <c r="K20" s="1"/>
      <c r="L20" s="1">
        <f t="shared" si="10"/>
        <v>-9.0000000000031832E-2</v>
      </c>
      <c r="M20" s="1"/>
      <c r="N20" s="5">
        <f t="shared" si="11"/>
        <v>-8.9910089910121704E-5</v>
      </c>
      <c r="O20" s="14"/>
      <c r="P20" s="1">
        <f>SUM(OSRRefP22_0x_0)</f>
        <v>2001.82</v>
      </c>
      <c r="Q20" s="1"/>
      <c r="R20" s="5">
        <f t="shared" si="12"/>
        <v>0</v>
      </c>
      <c r="S20" s="1"/>
      <c r="T20" s="1">
        <f>SUM(OSRRefT22_0x_0)</f>
        <v>2002</v>
      </c>
      <c r="U20" s="1"/>
      <c r="V20" s="5">
        <f t="shared" si="13"/>
        <v>0</v>
      </c>
      <c r="W20" s="1"/>
      <c r="X20" s="1">
        <f t="shared" si="14"/>
        <v>-0.18000000000006366</v>
      </c>
      <c r="Y20" s="1"/>
      <c r="Z20" s="5">
        <f t="shared" si="15"/>
        <v>-8.9910089910121704E-5</v>
      </c>
    </row>
    <row r="21" spans="1:26" s="24" customFormat="1" hidden="1" outlineLevel="2" x14ac:dyDescent="0.3">
      <c r="A21" s="27"/>
      <c r="B21" s="11" t="str">
        <f>CONCATENATE("          ", "6322", " - ", "EQUIPMENT DEPRECIATION EXPENSE")</f>
        <v xml:space="preserve">          6322 - EQUIPMENT DEPRECIATION EXPENSE</v>
      </c>
      <c r="C21" s="11"/>
      <c r="D21" s="6">
        <v>1000.91</v>
      </c>
      <c r="E21" s="2"/>
      <c r="F21" s="7">
        <f t="shared" si="8"/>
        <v>0</v>
      </c>
      <c r="G21" s="2"/>
      <c r="H21" s="6">
        <v>1001</v>
      </c>
      <c r="I21" s="2"/>
      <c r="J21" s="7">
        <f t="shared" si="9"/>
        <v>0</v>
      </c>
      <c r="K21" s="2"/>
      <c r="L21" s="6">
        <f t="shared" si="10"/>
        <v>-9.0000000000031832E-2</v>
      </c>
      <c r="M21" s="2"/>
      <c r="N21" s="7">
        <f t="shared" si="11"/>
        <v>-8.9910089910121704E-5</v>
      </c>
      <c r="O21" s="11"/>
      <c r="P21" s="6">
        <v>2001.82</v>
      </c>
      <c r="Q21" s="2"/>
      <c r="R21" s="7">
        <f t="shared" si="12"/>
        <v>0</v>
      </c>
      <c r="S21" s="2"/>
      <c r="T21" s="6">
        <v>2002</v>
      </c>
      <c r="U21" s="2"/>
      <c r="V21" s="7">
        <f t="shared" si="13"/>
        <v>0</v>
      </c>
      <c r="W21" s="2"/>
      <c r="X21" s="6">
        <f t="shared" si="14"/>
        <v>-0.18000000000006366</v>
      </c>
      <c r="Y21" s="2"/>
      <c r="Z21" s="7">
        <f t="shared" si="15"/>
        <v>-8.9910089910121704E-5</v>
      </c>
    </row>
    <row r="22" spans="1:26" s="28" customFormat="1" outlineLevel="1" collapsed="1" x14ac:dyDescent="0.3">
      <c r="A22" s="29"/>
      <c r="B22" s="14" t="str">
        <f>CONCATENATE("     ","Services                                          ")</f>
        <v xml:space="preserve">     Services                                          </v>
      </c>
      <c r="C22" s="14"/>
      <c r="D22" s="1">
        <f>SUM(OSRRefD22_1x_0)</f>
        <v>0</v>
      </c>
      <c r="E22" s="1"/>
      <c r="F22" s="5">
        <f t="shared" si="8"/>
        <v>0</v>
      </c>
      <c r="G22" s="1"/>
      <c r="H22" s="1">
        <f>SUM(OSRRefH22_1x_0)</f>
        <v>0</v>
      </c>
      <c r="I22" s="1"/>
      <c r="J22" s="5">
        <f t="shared" si="9"/>
        <v>0</v>
      </c>
      <c r="K22" s="1"/>
      <c r="L22" s="1">
        <f t="shared" si="10"/>
        <v>0</v>
      </c>
      <c r="M22" s="1"/>
      <c r="N22" s="5">
        <f t="shared" si="11"/>
        <v>0</v>
      </c>
      <c r="O22" s="14"/>
      <c r="P22" s="1">
        <f>SUM(OSRRefP22_1x_0)</f>
        <v>0</v>
      </c>
      <c r="Q22" s="1"/>
      <c r="R22" s="5">
        <f t="shared" si="12"/>
        <v>0</v>
      </c>
      <c r="S22" s="1"/>
      <c r="T22" s="1">
        <f>SUM(OSRRefT22_1x_0)</f>
        <v>0</v>
      </c>
      <c r="U22" s="1"/>
      <c r="V22" s="5">
        <f t="shared" si="13"/>
        <v>0</v>
      </c>
      <c r="W22" s="1"/>
      <c r="X22" s="1">
        <f t="shared" si="14"/>
        <v>0</v>
      </c>
      <c r="Y22" s="1"/>
      <c r="Z22" s="5">
        <f t="shared" si="15"/>
        <v>0</v>
      </c>
    </row>
    <row r="23" spans="1:26" s="24" customFormat="1" hidden="1" outlineLevel="2" x14ac:dyDescent="0.3">
      <c r="A23" s="27"/>
      <c r="B23" s="11" t="str">
        <f>CONCATENATE("          ", "6284", " - ", "TRASH REMOVAL EXPENSE")</f>
        <v xml:space="preserve">          6284 - TRASH REMOVAL EXPENSE</v>
      </c>
      <c r="C23" s="11"/>
      <c r="D23" s="6"/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/>
      <c r="Q23" s="2"/>
      <c r="R23" s="7">
        <f t="shared" si="12"/>
        <v>0</v>
      </c>
      <c r="S23" s="2"/>
      <c r="T23" s="6">
        <v>0</v>
      </c>
      <c r="U23" s="2"/>
      <c r="V23" s="7">
        <f t="shared" si="13"/>
        <v>0</v>
      </c>
      <c r="W23" s="2"/>
      <c r="X23" s="6">
        <f t="shared" si="14"/>
        <v>0</v>
      </c>
      <c r="Y23" s="2"/>
      <c r="Z23" s="7">
        <f t="shared" si="15"/>
        <v>0</v>
      </c>
    </row>
    <row r="24" spans="1:26" s="53" customFormat="1" x14ac:dyDescent="0.3">
      <c r="A24" s="36"/>
      <c r="B24" s="36"/>
      <c r="C24" s="36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293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>
        <f>+D17-D19+D25</f>
        <v>-1000.91</v>
      </c>
      <c r="E27" s="13"/>
      <c r="F27" s="20">
        <f>IF(D$12=0,0,D27/D$12)</f>
        <v>0</v>
      </c>
      <c r="G27" s="13"/>
      <c r="H27" s="21">
        <f>+H17-H19+H25</f>
        <v>-1001</v>
      </c>
      <c r="I27" s="13"/>
      <c r="J27" s="20">
        <f>IF(H$12=0,0,H27/H$12)</f>
        <v>0</v>
      </c>
      <c r="K27" s="16"/>
      <c r="L27" s="21">
        <f>+D27-H27</f>
        <v>9.0000000000031832E-2</v>
      </c>
      <c r="M27" s="16"/>
      <c r="N27" s="20">
        <f>IF(H27=0,0,L27/H27)</f>
        <v>-8.9910089910121704E-5</v>
      </c>
      <c r="O27" s="25"/>
      <c r="P27" s="21">
        <f>+P17-P19+P25</f>
        <v>-967.08999999999992</v>
      </c>
      <c r="Q27" s="13"/>
      <c r="R27" s="20">
        <f>IF(P$12=0,0,P27/P$12)</f>
        <v>0</v>
      </c>
      <c r="S27" s="13"/>
      <c r="T27" s="21">
        <f>+T17-T19+T25</f>
        <v>-2002</v>
      </c>
      <c r="U27" s="13"/>
      <c r="V27" s="20">
        <f>IF(T$12=0,0,T27/T$12)</f>
        <v>0</v>
      </c>
      <c r="W27" s="16"/>
      <c r="X27" s="21">
        <f>+P27-T27</f>
        <v>1034.9100000000001</v>
      </c>
      <c r="Y27" s="16"/>
      <c r="Z27" s="20">
        <f>IF(T27=0,0,X27/T27)</f>
        <v>-0.51693806193806202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/>
      <c r="E29" s="4"/>
      <c r="F29" s="12">
        <f>IF(D$12=0,0,D29/D$12)</f>
        <v>0</v>
      </c>
      <c r="G29" s="4"/>
      <c r="H29" s="4"/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/>
      <c r="Q29" s="4"/>
      <c r="R29" s="12">
        <f>IF(P$12=0,0,P29/P$12)</f>
        <v>0</v>
      </c>
      <c r="S29" s="4"/>
      <c r="T29" s="4"/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>
        <f>+D27-D29</f>
        <v>-1000.91</v>
      </c>
      <c r="E31" s="13"/>
      <c r="F31" s="35">
        <f>IF(D$12=0,0,D31/D$12)</f>
        <v>0</v>
      </c>
      <c r="G31" s="13"/>
      <c r="H31" s="30">
        <f>+H27-H29</f>
        <v>-1001</v>
      </c>
      <c r="I31" s="13"/>
      <c r="J31" s="35">
        <f>IF(H$12=0,0,H31/H$12)</f>
        <v>0</v>
      </c>
      <c r="K31" s="16"/>
      <c r="L31" s="30">
        <f>D31-H31</f>
        <v>9.0000000000031832E-2</v>
      </c>
      <c r="M31" s="16"/>
      <c r="N31" s="35">
        <f>IF(H31=0,0,L31/H31)</f>
        <v>-8.9910089910121704E-5</v>
      </c>
      <c r="O31" s="25"/>
      <c r="P31" s="30">
        <f>+P27-P29</f>
        <v>-967.08999999999992</v>
      </c>
      <c r="Q31" s="13"/>
      <c r="R31" s="35">
        <f>IF(P$12=0,0,P31/P$12)</f>
        <v>0</v>
      </c>
      <c r="S31" s="13"/>
      <c r="T31" s="30">
        <f>+T27-T29</f>
        <v>-2002</v>
      </c>
      <c r="U31" s="13"/>
      <c r="V31" s="35">
        <f>IF(T$12=0,0,T31/T$12)</f>
        <v>0</v>
      </c>
      <c r="W31" s="16"/>
      <c r="X31" s="30">
        <f>P31-T31</f>
        <v>1034.9100000000001</v>
      </c>
      <c r="Y31" s="16"/>
      <c r="Z31" s="35">
        <f>IF(T31=0,0,X31/T31)</f>
        <v>-0.51693806193806202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6" t="s">
        <v>294</v>
      </c>
      <c r="C34" s="26"/>
      <c r="D34" s="32">
        <f>SUM(D31:D33)</f>
        <v>-1000.91</v>
      </c>
      <c r="E34" s="13"/>
      <c r="F34" s="34">
        <f>IF(D$12=0,0,D34/D$12)</f>
        <v>0</v>
      </c>
      <c r="G34" s="13"/>
      <c r="H34" s="32">
        <f>SUM(H31:H33)</f>
        <v>-1001</v>
      </c>
      <c r="I34" s="13"/>
      <c r="J34" s="34">
        <f>IF(H$12=0,0,H34/H$12)</f>
        <v>0</v>
      </c>
      <c r="K34" s="16"/>
      <c r="L34" s="32">
        <f>+D34-H34</f>
        <v>9.0000000000031832E-2</v>
      </c>
      <c r="M34" s="16"/>
      <c r="N34" s="34">
        <f>IF(H34=0,0,L34/H34)</f>
        <v>-8.9910089910121704E-5</v>
      </c>
      <c r="O34" s="25"/>
      <c r="P34" s="32">
        <f>SUM(P31:P33)</f>
        <v>-967.08999999999992</v>
      </c>
      <c r="Q34" s="13"/>
      <c r="R34" s="34">
        <f>IF(P$12=0,0,P34/P$12)</f>
        <v>0</v>
      </c>
      <c r="S34" s="13"/>
      <c r="T34" s="32">
        <f>SUM(T31:T33)</f>
        <v>-2002</v>
      </c>
      <c r="U34" s="13"/>
      <c r="V34" s="34">
        <f>IF(T$12=0,0,T34/T$12)</f>
        <v>0</v>
      </c>
      <c r="W34" s="16"/>
      <c r="X34" s="32">
        <f>+P34-T34</f>
        <v>1034.9100000000001</v>
      </c>
      <c r="Y34" s="16"/>
      <c r="Z34" s="34">
        <f>IF(T34=0,0,X34/T34)</f>
        <v>-0.51693806193806202</v>
      </c>
    </row>
    <row r="35" spans="1:26" ht="15" thickTop="1" x14ac:dyDescent="0.3">
      <c r="A35" s="9"/>
      <c r="C35" s="9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6" x14ac:dyDescent="0.3">
      <c r="A36" s="9"/>
      <c r="B36" s="61">
        <v>44470.835499687499</v>
      </c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58" t="s">
        <v>56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5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","455", " - ", "Vending (old)")</f>
        <v>Department 455 - Vending (old)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SUM(0)</f>
        <v>0</v>
      </c>
      <c r="E18" s="22"/>
      <c r="F18" s="31">
        <f>IF(D$12=0,0,D18/D$12)</f>
        <v>0</v>
      </c>
      <c r="G18" s="22"/>
      <c r="H18" s="22">
        <f>SUM(0)</f>
        <v>0</v>
      </c>
      <c r="I18" s="22"/>
      <c r="J18" s="31">
        <f>IF(H$12=0,0,H18/H$12)</f>
        <v>0</v>
      </c>
      <c r="K18" s="4"/>
      <c r="L18" s="22">
        <f>+D18-H18</f>
        <v>0</v>
      </c>
      <c r="M18" s="4"/>
      <c r="N18" s="31">
        <f>IF(H18=0,0,L18/H18)</f>
        <v>0</v>
      </c>
      <c r="O18" s="10"/>
      <c r="P18" s="22">
        <f>SUM(0)</f>
        <v>0</v>
      </c>
      <c r="Q18" s="22"/>
      <c r="R18" s="31">
        <f>IF(P$12=0,0,P18/P$12)</f>
        <v>0</v>
      </c>
      <c r="S18" s="22"/>
      <c r="T18" s="22">
        <f>SUM(0)</f>
        <v>0</v>
      </c>
      <c r="U18" s="22"/>
      <c r="V18" s="31">
        <f>IF(T$12=0,0,T18/T$12)</f>
        <v>0</v>
      </c>
      <c r="W18" s="4"/>
      <c r="X18" s="22">
        <f>+P18-T18</f>
        <v>0</v>
      </c>
      <c r="Y18" s="4"/>
      <c r="Z18" s="31">
        <f>IF(T18=0,0,X18/T18)</f>
        <v>0</v>
      </c>
    </row>
    <row r="19" spans="1:26" s="53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3">
      <c r="A20" s="10"/>
      <c r="B20" s="25" t="s">
        <v>293</v>
      </c>
      <c r="C20" s="10"/>
      <c r="D20" s="4">
        <f>SUM(OSRRefD25x_0)</f>
        <v>10505.51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10505.51</v>
      </c>
      <c r="M20" s="4"/>
      <c r="N20" s="12">
        <f t="shared" ref="N20:N22" si="3">IF(H20=0,0,L20/H20)</f>
        <v>0</v>
      </c>
      <c r="O20" s="10"/>
      <c r="P20" s="4">
        <f>SUM(OSRRefP25x_0)</f>
        <v>11743.630000000001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11743.630000000001</v>
      </c>
      <c r="Y20" s="4"/>
      <c r="Z20" s="12">
        <f t="shared" ref="Z20:Z22" si="7">IF(T20=0,0,X20/T20)</f>
        <v>0</v>
      </c>
    </row>
    <row r="21" spans="1:26" s="24" customFormat="1" hidden="1" outlineLevel="1" x14ac:dyDescent="0.3">
      <c r="A21" s="44"/>
      <c r="B21" s="11" t="str">
        <f>CONCATENATE("          ", "9160", " - ", "MISC. INCOME")</f>
        <v xml:space="preserve">          9160 - MISC. INCOME</v>
      </c>
      <c r="C21" s="11"/>
      <c r="D21" s="2">
        <f>--10000</f>
        <v>10000</v>
      </c>
      <c r="E21" s="2"/>
      <c r="F21" s="19">
        <f t="shared" si="0"/>
        <v>0</v>
      </c>
      <c r="G21" s="2"/>
      <c r="H21" s="2"/>
      <c r="I21" s="2"/>
      <c r="J21" s="19">
        <f t="shared" si="1"/>
        <v>0</v>
      </c>
      <c r="K21" s="2"/>
      <c r="L21" s="2">
        <f t="shared" si="2"/>
        <v>10000</v>
      </c>
      <c r="M21" s="2"/>
      <c r="N21" s="19">
        <f t="shared" si="3"/>
        <v>0</v>
      </c>
      <c r="O21" s="11"/>
      <c r="P21" s="2">
        <f>--11238.12</f>
        <v>11238.12</v>
      </c>
      <c r="Q21" s="2"/>
      <c r="R21" s="19">
        <f t="shared" si="4"/>
        <v>0</v>
      </c>
      <c r="S21" s="2"/>
      <c r="T21" s="2"/>
      <c r="U21" s="2"/>
      <c r="V21" s="19">
        <f t="shared" si="5"/>
        <v>0</v>
      </c>
      <c r="W21" s="2"/>
      <c r="X21" s="2">
        <f t="shared" si="6"/>
        <v>11238.12</v>
      </c>
      <c r="Y21" s="2"/>
      <c r="Z21" s="19">
        <f t="shared" si="7"/>
        <v>0</v>
      </c>
    </row>
    <row r="22" spans="1:26" s="24" customFormat="1" hidden="1" outlineLevel="1" x14ac:dyDescent="0.3">
      <c r="A22" s="44"/>
      <c r="B22" s="11" t="str">
        <f>CONCATENATE("          ", "9165", " - ", "OTHER INCOME")</f>
        <v xml:space="preserve">          9165 - OTHER INCOME</v>
      </c>
      <c r="C22" s="11"/>
      <c r="D22" s="2">
        <f>--505.51</f>
        <v>505.51</v>
      </c>
      <c r="E22" s="2"/>
      <c r="F22" s="19">
        <f t="shared" si="0"/>
        <v>0</v>
      </c>
      <c r="G22" s="2"/>
      <c r="H22" s="2"/>
      <c r="I22" s="2"/>
      <c r="J22" s="19">
        <f t="shared" si="1"/>
        <v>0</v>
      </c>
      <c r="K22" s="2"/>
      <c r="L22" s="2">
        <f t="shared" si="2"/>
        <v>505.51</v>
      </c>
      <c r="M22" s="2"/>
      <c r="N22" s="19">
        <f t="shared" si="3"/>
        <v>0</v>
      </c>
      <c r="O22" s="11"/>
      <c r="P22" s="2">
        <f>--505.51</f>
        <v>505.51</v>
      </c>
      <c r="Q22" s="2"/>
      <c r="R22" s="19">
        <f t="shared" si="4"/>
        <v>0</v>
      </c>
      <c r="S22" s="2"/>
      <c r="T22" s="2"/>
      <c r="U22" s="2"/>
      <c r="V22" s="19">
        <f t="shared" si="5"/>
        <v>0</v>
      </c>
      <c r="W22" s="2"/>
      <c r="X22" s="2">
        <f t="shared" si="6"/>
        <v>505.51</v>
      </c>
      <c r="Y22" s="2"/>
      <c r="Z22" s="19">
        <f t="shared" si="7"/>
        <v>0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277</v>
      </c>
      <c r="C24" s="26"/>
      <c r="D24" s="21">
        <f>+D16-D18+D20</f>
        <v>10505.51</v>
      </c>
      <c r="E24" s="13"/>
      <c r="F24" s="20">
        <f>IF(D$12=0,0,D24/D$12)</f>
        <v>0</v>
      </c>
      <c r="G24" s="13"/>
      <c r="H24" s="21">
        <f>+H16-H18+H20</f>
        <v>0</v>
      </c>
      <c r="I24" s="13"/>
      <c r="J24" s="20">
        <f>IF(H$12=0,0,H24/H$12)</f>
        <v>0</v>
      </c>
      <c r="K24" s="16"/>
      <c r="L24" s="21">
        <f>+D24-H24</f>
        <v>10505.51</v>
      </c>
      <c r="M24" s="16"/>
      <c r="N24" s="20">
        <f>IF(H24=0,0,L24/H24)</f>
        <v>0</v>
      </c>
      <c r="O24" s="25"/>
      <c r="P24" s="21">
        <f>+P16-P18+P20</f>
        <v>11743.630000000001</v>
      </c>
      <c r="Q24" s="13"/>
      <c r="R24" s="20">
        <f>IF(P$12=0,0,P24/P$12)</f>
        <v>0</v>
      </c>
      <c r="S24" s="13"/>
      <c r="T24" s="21">
        <f>+T16-T18+T20</f>
        <v>0</v>
      </c>
      <c r="U24" s="13"/>
      <c r="V24" s="20">
        <f>IF(T$12=0,0,T24/T$12)</f>
        <v>0</v>
      </c>
      <c r="W24" s="16"/>
      <c r="X24" s="21">
        <f>+P24-T24</f>
        <v>11743.630000000001</v>
      </c>
      <c r="Y24" s="16"/>
      <c r="Z24" s="20">
        <f>IF(T24=0,0,X24/T24)</f>
        <v>0</v>
      </c>
    </row>
    <row r="25" spans="1:26" x14ac:dyDescent="0.3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" thickBot="1" x14ac:dyDescent="0.35">
      <c r="A28" s="10"/>
      <c r="B28" s="26" t="s">
        <v>126</v>
      </c>
      <c r="C28" s="26"/>
      <c r="D28" s="30">
        <f>+D24-D26</f>
        <v>10505.51</v>
      </c>
      <c r="E28" s="13"/>
      <c r="F28" s="35">
        <f>IF(D$12=0,0,D28/D$12)</f>
        <v>0</v>
      </c>
      <c r="G28" s="13"/>
      <c r="H28" s="30">
        <f>+H24-H26</f>
        <v>0</v>
      </c>
      <c r="I28" s="13"/>
      <c r="J28" s="35">
        <f>IF(H$12=0,0,H28/H$12)</f>
        <v>0</v>
      </c>
      <c r="K28" s="16"/>
      <c r="L28" s="30">
        <f>D28-H28</f>
        <v>10505.51</v>
      </c>
      <c r="M28" s="16"/>
      <c r="N28" s="35">
        <f>IF(H28=0,0,L28/H28)</f>
        <v>0</v>
      </c>
      <c r="O28" s="25"/>
      <c r="P28" s="30">
        <f>+P24-P26</f>
        <v>11743.630000000001</v>
      </c>
      <c r="Q28" s="13"/>
      <c r="R28" s="35">
        <f>IF(P$12=0,0,P28/P$12)</f>
        <v>0</v>
      </c>
      <c r="S28" s="13"/>
      <c r="T28" s="30">
        <f>+T24-T26</f>
        <v>0</v>
      </c>
      <c r="U28" s="13"/>
      <c r="V28" s="35">
        <f>IF(T$12=0,0,T28/T$12)</f>
        <v>0</v>
      </c>
      <c r="W28" s="16"/>
      <c r="X28" s="30">
        <f>P28-T28</f>
        <v>11743.630000000001</v>
      </c>
      <c r="Y28" s="16"/>
      <c r="Z28" s="35">
        <f>IF(T28=0,0,X28/T28)</f>
        <v>0</v>
      </c>
    </row>
    <row r="29" spans="1:26" ht="15" thickTop="1" x14ac:dyDescent="0.3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294</v>
      </c>
      <c r="C31" s="26"/>
      <c r="D31" s="32">
        <f>SUM(D28:D30)</f>
        <v>10505.51</v>
      </c>
      <c r="E31" s="13"/>
      <c r="F31" s="34">
        <f>IF(D$12=0,0,D31/D$12)</f>
        <v>0</v>
      </c>
      <c r="G31" s="13"/>
      <c r="H31" s="32">
        <f>SUM(H28:H30)</f>
        <v>0</v>
      </c>
      <c r="I31" s="13"/>
      <c r="J31" s="34">
        <f>IF(H$12=0,0,H31/H$12)</f>
        <v>0</v>
      </c>
      <c r="K31" s="16"/>
      <c r="L31" s="32">
        <f>+D31-H31</f>
        <v>10505.51</v>
      </c>
      <c r="M31" s="16"/>
      <c r="N31" s="34">
        <f>IF(H31=0,0,L31/H31)</f>
        <v>0</v>
      </c>
      <c r="O31" s="25"/>
      <c r="P31" s="32">
        <f>SUM(P28:P30)</f>
        <v>11743.630000000001</v>
      </c>
      <c r="Q31" s="13"/>
      <c r="R31" s="34">
        <f>IF(P$12=0,0,P31/P$12)</f>
        <v>0</v>
      </c>
      <c r="S31" s="13"/>
      <c r="T31" s="32">
        <f>SUM(T28:T30)</f>
        <v>0</v>
      </c>
      <c r="U31" s="13"/>
      <c r="V31" s="34">
        <f>IF(T$12=0,0,T31/T$12)</f>
        <v>0</v>
      </c>
      <c r="W31" s="16"/>
      <c r="X31" s="32">
        <f>+P31-T31</f>
        <v>11743.630000000001</v>
      </c>
      <c r="Y31" s="16"/>
      <c r="Z31" s="34">
        <f>IF(T31=0,0,X31/T31)</f>
        <v>0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61">
        <v>44470.835499687499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8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5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0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183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483224.21</v>
      </c>
      <c r="E12" s="4"/>
      <c r="F12" s="12"/>
      <c r="G12" s="4"/>
      <c r="H12" s="4">
        <f>SUM(OSRRefH13x_0)</f>
        <v>282240</v>
      </c>
      <c r="I12" s="4"/>
      <c r="J12" s="12"/>
      <c r="K12" s="4"/>
      <c r="L12" s="4">
        <f t="shared" ref="L12:L16" si="0">+D12-H12</f>
        <v>200984.21000000002</v>
      </c>
      <c r="M12" s="4"/>
      <c r="N12" s="12">
        <f t="shared" ref="N12:N16" si="1">IF(H12=0,0,L12/H12)</f>
        <v>0.7121039186507937</v>
      </c>
      <c r="O12" s="10"/>
      <c r="P12" s="4">
        <f>SUM(OSRRefP13x_0)</f>
        <v>506211.56000000006</v>
      </c>
      <c r="Q12" s="4"/>
      <c r="R12" s="12"/>
      <c r="S12" s="4"/>
      <c r="T12" s="4">
        <f>SUM(OSRRefT13x_0)</f>
        <v>282240</v>
      </c>
      <c r="U12" s="4"/>
      <c r="V12" s="12"/>
      <c r="W12" s="4"/>
      <c r="X12" s="4">
        <f t="shared" ref="X12:X16" si="2">+P12-T12</f>
        <v>223971.56000000006</v>
      </c>
      <c r="Y12" s="4"/>
      <c r="Z12" s="12">
        <f t="shared" ref="Z12:Z16" si="3">IF(T12=0,0,X12/T12)</f>
        <v>0.79355002834467137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--384.19</f>
        <v>384.19</v>
      </c>
      <c r="E13" s="2"/>
      <c r="F13" s="19"/>
      <c r="G13" s="2"/>
      <c r="H13" s="2"/>
      <c r="I13" s="2"/>
      <c r="J13" s="19"/>
      <c r="K13" s="2"/>
      <c r="L13" s="2">
        <f t="shared" si="0"/>
        <v>384.19</v>
      </c>
      <c r="M13" s="2"/>
      <c r="N13" s="19">
        <f t="shared" si="1"/>
        <v>0</v>
      </c>
      <c r="O13" s="11"/>
      <c r="P13" s="2">
        <f>--490.83</f>
        <v>490.83</v>
      </c>
      <c r="Q13" s="2"/>
      <c r="R13" s="19"/>
      <c r="S13" s="2"/>
      <c r="T13" s="2"/>
      <c r="U13" s="2"/>
      <c r="V13" s="19"/>
      <c r="W13" s="2"/>
      <c r="X13" s="2">
        <f t="shared" si="2"/>
        <v>490.83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282240</v>
      </c>
      <c r="I14" s="2"/>
      <c r="J14" s="19"/>
      <c r="K14" s="2"/>
      <c r="L14" s="2">
        <f t="shared" si="0"/>
        <v>-282240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282240</v>
      </c>
      <c r="U14" s="2"/>
      <c r="V14" s="19"/>
      <c r="W14" s="2"/>
      <c r="X14" s="2">
        <f t="shared" si="2"/>
        <v>-282240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--467052.71</f>
        <v>467052.71</v>
      </c>
      <c r="E15" s="2"/>
      <c r="F15" s="19"/>
      <c r="G15" s="2"/>
      <c r="H15" s="2"/>
      <c r="I15" s="2"/>
      <c r="J15" s="19"/>
      <c r="K15" s="2"/>
      <c r="L15" s="2">
        <f t="shared" si="0"/>
        <v>467052.71</v>
      </c>
      <c r="M15" s="2"/>
      <c r="N15" s="19">
        <f t="shared" si="1"/>
        <v>0</v>
      </c>
      <c r="O15" s="11"/>
      <c r="P15" s="2">
        <f>--486652.71</f>
        <v>486652.71</v>
      </c>
      <c r="Q15" s="2"/>
      <c r="R15" s="19"/>
      <c r="S15" s="2"/>
      <c r="T15" s="2"/>
      <c r="U15" s="2"/>
      <c r="V15" s="19"/>
      <c r="W15" s="2"/>
      <c r="X15" s="2">
        <f t="shared" si="2"/>
        <v>486652.71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--15787.31</f>
        <v>15787.31</v>
      </c>
      <c r="E16" s="2"/>
      <c r="F16" s="19"/>
      <c r="G16" s="2"/>
      <c r="H16" s="2"/>
      <c r="I16" s="2"/>
      <c r="J16" s="19"/>
      <c r="K16" s="2"/>
      <c r="L16" s="2">
        <f t="shared" si="0"/>
        <v>15787.31</v>
      </c>
      <c r="M16" s="2"/>
      <c r="N16" s="19">
        <f t="shared" si="1"/>
        <v>0</v>
      </c>
      <c r="O16" s="11"/>
      <c r="P16" s="2">
        <f>--19068.02</f>
        <v>19068.02</v>
      </c>
      <c r="Q16" s="2"/>
      <c r="R16" s="19"/>
      <c r="S16" s="2"/>
      <c r="T16" s="2"/>
      <c r="U16" s="2"/>
      <c r="V16" s="19"/>
      <c r="W16" s="2"/>
      <c r="X16" s="2">
        <f t="shared" si="2"/>
        <v>19068.02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175207.4</v>
      </c>
      <c r="E18" s="4"/>
      <c r="F18" s="12">
        <f t="shared" ref="F18:F21" si="4">IF(D$12=0,0,D18/D$12)</f>
        <v>0.36257992951139595</v>
      </c>
      <c r="G18" s="4"/>
      <c r="H18" s="4">
        <f>SUM(OSRRefH16x_0)</f>
        <v>144144</v>
      </c>
      <c r="I18" s="4"/>
      <c r="J18" s="12">
        <f t="shared" ref="J18:J21" si="5">IF(H$12=0,0,H18/H$12)</f>
        <v>0.51071428571428568</v>
      </c>
      <c r="K18" s="4"/>
      <c r="L18" s="4">
        <f t="shared" ref="L18:L21" si="6">+D18-H18</f>
        <v>31063.399999999994</v>
      </c>
      <c r="M18" s="4"/>
      <c r="N18" s="12">
        <f t="shared" ref="N18:N21" si="7">IF(H18=0,0,L18/H18)</f>
        <v>0.21550255300255297</v>
      </c>
      <c r="O18" s="10"/>
      <c r="P18" s="4">
        <f>SUM(OSRRefP16x_0)</f>
        <v>192336.24</v>
      </c>
      <c r="Q18" s="4"/>
      <c r="R18" s="12">
        <f t="shared" ref="R18:R21" si="8">IF(P$12=0,0,P18/P$12)</f>
        <v>0.37995228714255352</v>
      </c>
      <c r="S18" s="4"/>
      <c r="T18" s="4">
        <f>SUM(OSRRefT16x_0)</f>
        <v>144144</v>
      </c>
      <c r="U18" s="4"/>
      <c r="V18" s="12">
        <f t="shared" ref="V18:V21" si="9">IF(T$12=0,0,T18/T$12)</f>
        <v>0.51071428571428568</v>
      </c>
      <c r="W18" s="4"/>
      <c r="X18" s="4">
        <f t="shared" ref="X18:X21" si="10">+P18-T18</f>
        <v>48192.239999999991</v>
      </c>
      <c r="Y18" s="4"/>
      <c r="Z18" s="12">
        <f t="shared" ref="Z18:Z21" si="11">IF(T18=0,0,X18/T18)</f>
        <v>0.33433399933399927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144144</v>
      </c>
      <c r="I19" s="2"/>
      <c r="J19" s="19">
        <f t="shared" si="5"/>
        <v>0.51071428571428568</v>
      </c>
      <c r="K19" s="2"/>
      <c r="L19" s="2">
        <f t="shared" si="6"/>
        <v>-144144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144144</v>
      </c>
      <c r="U19" s="2"/>
      <c r="V19" s="19">
        <f t="shared" si="9"/>
        <v>0.51071428571428568</v>
      </c>
      <c r="W19" s="2"/>
      <c r="X19" s="2">
        <f t="shared" si="10"/>
        <v>-144144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219629.4</v>
      </c>
      <c r="E20" s="2"/>
      <c r="F20" s="19">
        <f t="shared" si="4"/>
        <v>0.45450827060175647</v>
      </c>
      <c r="G20" s="2"/>
      <c r="H20" s="2"/>
      <c r="I20" s="2"/>
      <c r="J20" s="19">
        <f t="shared" si="5"/>
        <v>0</v>
      </c>
      <c r="K20" s="2"/>
      <c r="L20" s="2">
        <f t="shared" si="6"/>
        <v>219629.4</v>
      </c>
      <c r="M20" s="2"/>
      <c r="N20" s="19">
        <f t="shared" si="7"/>
        <v>0</v>
      </c>
      <c r="O20" s="11"/>
      <c r="P20" s="2">
        <v>237598.24</v>
      </c>
      <c r="Q20" s="2"/>
      <c r="R20" s="19">
        <f t="shared" si="8"/>
        <v>0.4693654961178681</v>
      </c>
      <c r="S20" s="2"/>
      <c r="T20" s="2"/>
      <c r="U20" s="2"/>
      <c r="V20" s="19">
        <f t="shared" si="9"/>
        <v>0</v>
      </c>
      <c r="W20" s="2"/>
      <c r="X20" s="2">
        <f t="shared" si="10"/>
        <v>237598.24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-44422</v>
      </c>
      <c r="E21" s="2"/>
      <c r="F21" s="19">
        <f t="shared" si="4"/>
        <v>-9.1928341090360507E-2</v>
      </c>
      <c r="G21" s="2"/>
      <c r="H21" s="2"/>
      <c r="I21" s="2"/>
      <c r="J21" s="19">
        <f t="shared" si="5"/>
        <v>0</v>
      </c>
      <c r="K21" s="2"/>
      <c r="L21" s="2">
        <f t="shared" si="6"/>
        <v>-44422</v>
      </c>
      <c r="M21" s="2"/>
      <c r="N21" s="19">
        <f t="shared" si="7"/>
        <v>0</v>
      </c>
      <c r="O21" s="11"/>
      <c r="P21" s="2">
        <v>-45262</v>
      </c>
      <c r="Q21" s="2"/>
      <c r="R21" s="19">
        <f t="shared" si="8"/>
        <v>-8.9413208975314573E-2</v>
      </c>
      <c r="S21" s="2"/>
      <c r="T21" s="2"/>
      <c r="U21" s="2"/>
      <c r="V21" s="19">
        <f t="shared" si="9"/>
        <v>0</v>
      </c>
      <c r="W21" s="2"/>
      <c r="X21" s="2">
        <f t="shared" si="10"/>
        <v>-45262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308016.81000000006</v>
      </c>
      <c r="E23" s="13"/>
      <c r="F23" s="20">
        <f>IF(D$12=0,0,D23/D$12)</f>
        <v>0.63742007048860416</v>
      </c>
      <c r="G23" s="13"/>
      <c r="H23" s="21">
        <f>H12-H18</f>
        <v>138096</v>
      </c>
      <c r="I23" s="13"/>
      <c r="J23" s="20">
        <f>IF(H$12=0,0,H23/H$12)</f>
        <v>0.48928571428571427</v>
      </c>
      <c r="K23" s="16"/>
      <c r="L23" s="21">
        <f>+D23-H23</f>
        <v>169920.81000000006</v>
      </c>
      <c r="M23" s="16"/>
      <c r="N23" s="20">
        <f>IF(H23=0,0,L23/H23)</f>
        <v>1.2304542492179358</v>
      </c>
      <c r="O23" s="25"/>
      <c r="P23" s="21">
        <f>P12-P18</f>
        <v>313875.32000000007</v>
      </c>
      <c r="Q23" s="13"/>
      <c r="R23" s="20">
        <f>IF(P$12=0,0,P23/P$12)</f>
        <v>0.62004771285744642</v>
      </c>
      <c r="S23" s="13"/>
      <c r="T23" s="21">
        <f>T12-T18</f>
        <v>138096</v>
      </c>
      <c r="U23" s="13"/>
      <c r="V23" s="20">
        <f>IF(T$12=0,0,T23/T$12)</f>
        <v>0.48928571428571427</v>
      </c>
      <c r="W23" s="16"/>
      <c r="X23" s="21">
        <f>+P23-T23</f>
        <v>175779.32000000007</v>
      </c>
      <c r="Y23" s="16"/>
      <c r="Z23" s="20">
        <f>IF(T23=0,0,X23/T23)</f>
        <v>1.2728777082609204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2">
        <f>SUM(OSRRefD22x_0)</f>
        <v>313685.63000000006</v>
      </c>
      <c r="E25" s="22"/>
      <c r="F25" s="31">
        <f t="shared" ref="F25:F36" si="12">IF(D$12=0,0,D25/D$12)</f>
        <v>0.64915131218280653</v>
      </c>
      <c r="G25" s="22"/>
      <c r="H25" s="22">
        <f>SUM(OSRRefH22x_0)</f>
        <v>412805.86582506599</v>
      </c>
      <c r="I25" s="22"/>
      <c r="J25" s="31">
        <f t="shared" ref="J25:J36" si="13">IF(H$12=0,0,H25/H$12)</f>
        <v>1.4626058171239582</v>
      </c>
      <c r="K25" s="4"/>
      <c r="L25" s="22">
        <f t="shared" ref="L25:L36" si="14">+D25-H25</f>
        <v>-99120.235825065931</v>
      </c>
      <c r="M25" s="4"/>
      <c r="N25" s="31">
        <f t="shared" ref="N25:N36" si="15">IF(H25=0,0,L25/H25)</f>
        <v>-0.24011343837606691</v>
      </c>
      <c r="O25" s="10"/>
      <c r="P25" s="22">
        <f>SUM(OSRRefP22x_0)</f>
        <v>508315.52</v>
      </c>
      <c r="Q25" s="22"/>
      <c r="R25" s="31">
        <f t="shared" ref="R25:R36" si="16">IF(P$12=0,0,P25/P$12)</f>
        <v>1.0041562859607551</v>
      </c>
      <c r="S25" s="22"/>
      <c r="T25" s="22">
        <f>SUM(OSRRefT22x_0)</f>
        <v>754973.69723139901</v>
      </c>
      <c r="U25" s="22"/>
      <c r="V25" s="31">
        <f t="shared" ref="V25:V36" si="17">IF(T$12=0,0,T25/T$12)</f>
        <v>2.6749351517552404</v>
      </c>
      <c r="W25" s="4"/>
      <c r="X25" s="22">
        <f t="shared" ref="X25:X36" si="18">+P25-T25</f>
        <v>-246658.17723139899</v>
      </c>
      <c r="Y25" s="4"/>
      <c r="Z25" s="31">
        <f t="shared" ref="Z25:Z36" si="19">IF(T25=0,0,X25/T25)</f>
        <v>-0.32671095448216442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75970.11</v>
      </c>
      <c r="E26" s="1"/>
      <c r="F26" s="5">
        <f t="shared" si="12"/>
        <v>0.15721503274846266</v>
      </c>
      <c r="G26" s="1"/>
      <c r="H26" s="1">
        <f>SUM(OSRRefH22_0x_0)</f>
        <v>105198.40387121995</v>
      </c>
      <c r="I26" s="1"/>
      <c r="J26" s="5">
        <f t="shared" si="13"/>
        <v>0.37272677108567159</v>
      </c>
      <c r="K26" s="1"/>
      <c r="L26" s="1">
        <f t="shared" si="14"/>
        <v>-29228.293871219954</v>
      </c>
      <c r="M26" s="1"/>
      <c r="N26" s="5">
        <f t="shared" si="15"/>
        <v>-0.27783970854729095</v>
      </c>
      <c r="O26" s="14"/>
      <c r="P26" s="1">
        <f>SUM(OSRRefP22_0x_0)</f>
        <v>143769.62999999998</v>
      </c>
      <c r="Q26" s="1"/>
      <c r="R26" s="5">
        <f t="shared" si="16"/>
        <v>0.28401095779005908</v>
      </c>
      <c r="S26" s="1"/>
      <c r="T26" s="1">
        <f>SUM(OSRRefT22_0x_0)</f>
        <v>221181.33283524527</v>
      </c>
      <c r="U26" s="1"/>
      <c r="V26" s="5">
        <f t="shared" si="17"/>
        <v>0.78366401939925334</v>
      </c>
      <c r="W26" s="1"/>
      <c r="X26" s="1">
        <f t="shared" si="18"/>
        <v>-77411.702835245291</v>
      </c>
      <c r="Y26" s="1"/>
      <c r="Z26" s="5">
        <f t="shared" si="19"/>
        <v>-0.34999202619376624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9598.31</v>
      </c>
      <c r="E27" s="2"/>
      <c r="F27" s="7">
        <f t="shared" si="12"/>
        <v>1.986305694410468E-2</v>
      </c>
      <c r="G27" s="2"/>
      <c r="H27" s="6">
        <v>14206.815869681501</v>
      </c>
      <c r="I27" s="2"/>
      <c r="J27" s="7">
        <f t="shared" si="13"/>
        <v>5.0335940581354523E-2</v>
      </c>
      <c r="K27" s="2"/>
      <c r="L27" s="6">
        <f t="shared" si="14"/>
        <v>-4608.5058696815013</v>
      </c>
      <c r="M27" s="2"/>
      <c r="N27" s="7">
        <f t="shared" si="15"/>
        <v>-0.32438696411322027</v>
      </c>
      <c r="O27" s="11"/>
      <c r="P27" s="6">
        <v>16227.88</v>
      </c>
      <c r="Q27" s="2"/>
      <c r="R27" s="7">
        <f t="shared" si="16"/>
        <v>3.2057505759054569E-2</v>
      </c>
      <c r="S27" s="2"/>
      <c r="T27" s="6">
        <v>27546.684831783499</v>
      </c>
      <c r="U27" s="2"/>
      <c r="V27" s="7">
        <f t="shared" si="17"/>
        <v>9.7600215532112733E-2</v>
      </c>
      <c r="W27" s="2"/>
      <c r="X27" s="6">
        <f t="shared" si="18"/>
        <v>-11318.8048317835</v>
      </c>
      <c r="Y27" s="2"/>
      <c r="Z27" s="7">
        <f t="shared" si="19"/>
        <v>-0.41089535459177318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4432.8599999999997</v>
      </c>
      <c r="E28" s="2"/>
      <c r="F28" s="7">
        <f t="shared" si="12"/>
        <v>9.1735056072625165E-3</v>
      </c>
      <c r="G28" s="2"/>
      <c r="H28" s="6">
        <v>8130.6571522923095</v>
      </c>
      <c r="I28" s="2"/>
      <c r="J28" s="7">
        <f t="shared" si="13"/>
        <v>2.8807600454550417E-2</v>
      </c>
      <c r="K28" s="2"/>
      <c r="L28" s="6">
        <f t="shared" si="14"/>
        <v>-3697.7971522923099</v>
      </c>
      <c r="M28" s="2"/>
      <c r="N28" s="7">
        <f t="shared" si="15"/>
        <v>-0.45479683659392461</v>
      </c>
      <c r="O28" s="11"/>
      <c r="P28" s="6">
        <v>7545.83</v>
      </c>
      <c r="Q28" s="2"/>
      <c r="R28" s="7">
        <f t="shared" si="16"/>
        <v>1.4906475071410852E-2</v>
      </c>
      <c r="S28" s="2"/>
      <c r="T28" s="6">
        <v>14736.968842657699</v>
      </c>
      <c r="U28" s="2"/>
      <c r="V28" s="7">
        <f t="shared" si="17"/>
        <v>5.2214317044563842E-2</v>
      </c>
      <c r="W28" s="2"/>
      <c r="X28" s="6">
        <f t="shared" si="18"/>
        <v>-7191.1388426576996</v>
      </c>
      <c r="Y28" s="2"/>
      <c r="Z28" s="7">
        <f t="shared" si="19"/>
        <v>-0.48796593922640286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42155.33</v>
      </c>
      <c r="E29" s="2"/>
      <c r="F29" s="7">
        <f t="shared" si="12"/>
        <v>8.7237619985968837E-2</v>
      </c>
      <c r="G29" s="2"/>
      <c r="H29" s="6">
        <v>61886.692307692298</v>
      </c>
      <c r="I29" s="2"/>
      <c r="J29" s="7">
        <f t="shared" si="13"/>
        <v>0.21926974315367168</v>
      </c>
      <c r="K29" s="2"/>
      <c r="L29" s="6">
        <f t="shared" si="14"/>
        <v>-19731.362307692296</v>
      </c>
      <c r="M29" s="2"/>
      <c r="N29" s="7">
        <f t="shared" si="15"/>
        <v>-0.31883045565903928</v>
      </c>
      <c r="O29" s="11"/>
      <c r="P29" s="6">
        <v>82921.100000000006</v>
      </c>
      <c r="Q29" s="2"/>
      <c r="R29" s="7">
        <f t="shared" si="16"/>
        <v>0.16380720345461885</v>
      </c>
      <c r="S29" s="2"/>
      <c r="T29" s="6">
        <v>135768.30769230801</v>
      </c>
      <c r="U29" s="2"/>
      <c r="V29" s="7">
        <f t="shared" si="17"/>
        <v>0.48103850514564911</v>
      </c>
      <c r="W29" s="2"/>
      <c r="X29" s="6">
        <f t="shared" si="18"/>
        <v>-52847.207692308002</v>
      </c>
      <c r="Y29" s="2"/>
      <c r="Z29" s="7">
        <f t="shared" si="19"/>
        <v>-0.38924553594698796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320.16000000000003</v>
      </c>
      <c r="E30" s="2"/>
      <c r="F30" s="7">
        <f t="shared" si="12"/>
        <v>6.6254958541915772E-4</v>
      </c>
      <c r="G30" s="2"/>
      <c r="H30" s="6">
        <v>450.51134616923099</v>
      </c>
      <c r="I30" s="2"/>
      <c r="J30" s="7">
        <f t="shared" si="13"/>
        <v>1.5961994974816858E-3</v>
      </c>
      <c r="K30" s="2"/>
      <c r="L30" s="6">
        <f t="shared" si="14"/>
        <v>-130.35134616923096</v>
      </c>
      <c r="M30" s="2"/>
      <c r="N30" s="7">
        <f t="shared" si="15"/>
        <v>-0.28934087293833777</v>
      </c>
      <c r="O30" s="11"/>
      <c r="P30" s="6">
        <v>544.98</v>
      </c>
      <c r="Q30" s="2"/>
      <c r="R30" s="7">
        <f t="shared" si="16"/>
        <v>1.0765854497672869E-3</v>
      </c>
      <c r="S30" s="2"/>
      <c r="T30" s="6">
        <v>816.56027888077006</v>
      </c>
      <c r="U30" s="2"/>
      <c r="V30" s="7">
        <f t="shared" si="17"/>
        <v>2.8931415776671274E-3</v>
      </c>
      <c r="W30" s="2"/>
      <c r="X30" s="6">
        <f t="shared" si="18"/>
        <v>-271.58027888077004</v>
      </c>
      <c r="Y30" s="2"/>
      <c r="Z30" s="7">
        <f t="shared" si="19"/>
        <v>-0.33259060709273713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3736.04</v>
      </c>
      <c r="E31" s="2"/>
      <c r="F31" s="7">
        <f t="shared" si="12"/>
        <v>7.7314834867234818E-3</v>
      </c>
      <c r="G31" s="2"/>
      <c r="H31" s="6">
        <v>3831.97668769231</v>
      </c>
      <c r="I31" s="2"/>
      <c r="J31" s="7">
        <f t="shared" si="13"/>
        <v>1.3577014908206881E-2</v>
      </c>
      <c r="K31" s="2"/>
      <c r="L31" s="6">
        <f t="shared" si="14"/>
        <v>-95.936687692309988</v>
      </c>
      <c r="M31" s="2"/>
      <c r="N31" s="7">
        <f t="shared" si="15"/>
        <v>-2.503582237346149E-2</v>
      </c>
      <c r="O31" s="11"/>
      <c r="P31" s="6">
        <v>7273.57</v>
      </c>
      <c r="Q31" s="2"/>
      <c r="R31" s="7">
        <f t="shared" si="16"/>
        <v>1.4368636702014468E-2</v>
      </c>
      <c r="S31" s="2"/>
      <c r="T31" s="6">
        <v>8621.9475473077</v>
      </c>
      <c r="U31" s="2"/>
      <c r="V31" s="7">
        <f t="shared" si="17"/>
        <v>3.054828354346549E-2</v>
      </c>
      <c r="W31" s="2"/>
      <c r="X31" s="6">
        <f t="shared" si="18"/>
        <v>-1348.3775473077003</v>
      </c>
      <c r="Y31" s="2"/>
      <c r="Z31" s="7">
        <f t="shared" si="19"/>
        <v>-0.15638897591400291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2188.98</v>
      </c>
      <c r="E33" s="2"/>
      <c r="F33" s="7">
        <f t="shared" si="12"/>
        <v>4.5299468749713514E-3</v>
      </c>
      <c r="G33" s="2"/>
      <c r="H33" s="6"/>
      <c r="I33" s="2"/>
      <c r="J33" s="7">
        <f t="shared" si="13"/>
        <v>0</v>
      </c>
      <c r="K33" s="2"/>
      <c r="L33" s="6">
        <f t="shared" si="14"/>
        <v>2188.98</v>
      </c>
      <c r="M33" s="2"/>
      <c r="N33" s="7">
        <f t="shared" si="15"/>
        <v>0</v>
      </c>
      <c r="O33" s="11"/>
      <c r="P33" s="6">
        <v>3470.62</v>
      </c>
      <c r="Q33" s="2"/>
      <c r="R33" s="7">
        <f t="shared" si="16"/>
        <v>6.8560662660489217E-3</v>
      </c>
      <c r="S33" s="2"/>
      <c r="T33" s="6"/>
      <c r="U33" s="2"/>
      <c r="V33" s="7">
        <f t="shared" si="17"/>
        <v>0</v>
      </c>
      <c r="W33" s="2"/>
      <c r="X33" s="6">
        <f t="shared" si="18"/>
        <v>3470.62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6">
        <v>6724.79</v>
      </c>
      <c r="E34" s="2"/>
      <c r="F34" s="7">
        <f t="shared" si="12"/>
        <v>1.3916500582617746E-2</v>
      </c>
      <c r="G34" s="2"/>
      <c r="H34" s="6">
        <v>5673.2032538461499</v>
      </c>
      <c r="I34" s="2"/>
      <c r="J34" s="7">
        <f t="shared" si="13"/>
        <v>2.0100635111416347E-2</v>
      </c>
      <c r="K34" s="2"/>
      <c r="L34" s="6">
        <f t="shared" si="14"/>
        <v>1051.5867461538501</v>
      </c>
      <c r="M34" s="2"/>
      <c r="N34" s="7">
        <f t="shared" si="15"/>
        <v>0.18536031569835376</v>
      </c>
      <c r="O34" s="11"/>
      <c r="P34" s="6">
        <v>12754.87</v>
      </c>
      <c r="Q34" s="2"/>
      <c r="R34" s="7">
        <f t="shared" si="16"/>
        <v>2.5196718146855437E-2</v>
      </c>
      <c r="S34" s="2"/>
      <c r="T34" s="6">
        <v>12764.707321153801</v>
      </c>
      <c r="U34" s="2"/>
      <c r="V34" s="7">
        <f t="shared" si="17"/>
        <v>4.5226429000686651E-2</v>
      </c>
      <c r="W34" s="2"/>
      <c r="X34" s="6">
        <f t="shared" si="18"/>
        <v>-9.837321153800076</v>
      </c>
      <c r="Y34" s="2"/>
      <c r="Z34" s="7">
        <f t="shared" si="19"/>
        <v>-7.7066562564247502E-4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6">
        <v>4503.7</v>
      </c>
      <c r="E35" s="2"/>
      <c r="F35" s="7">
        <f t="shared" si="12"/>
        <v>9.3201042224271002E-3</v>
      </c>
      <c r="G35" s="2"/>
      <c r="H35" s="6">
        <v>6818.5472538461499</v>
      </c>
      <c r="I35" s="2"/>
      <c r="J35" s="7">
        <f t="shared" si="13"/>
        <v>2.4158684998037663E-2</v>
      </c>
      <c r="K35" s="2"/>
      <c r="L35" s="6">
        <f t="shared" si="14"/>
        <v>-2314.8472538461501</v>
      </c>
      <c r="M35" s="2"/>
      <c r="N35" s="7">
        <f t="shared" si="15"/>
        <v>-0.33949273469365637</v>
      </c>
      <c r="O35" s="11"/>
      <c r="P35" s="6">
        <v>8452.51</v>
      </c>
      <c r="Q35" s="2"/>
      <c r="R35" s="7">
        <f t="shared" si="16"/>
        <v>1.6697583911359115E-2</v>
      </c>
      <c r="S35" s="2"/>
      <c r="T35" s="6">
        <v>12526.1563211538</v>
      </c>
      <c r="U35" s="2"/>
      <c r="V35" s="7">
        <f t="shared" si="17"/>
        <v>4.4381222793203653E-2</v>
      </c>
      <c r="W35" s="2"/>
      <c r="X35" s="6">
        <f t="shared" si="18"/>
        <v>-4073.6463211537994</v>
      </c>
      <c r="Y35" s="2"/>
      <c r="Z35" s="7">
        <f t="shared" si="19"/>
        <v>-0.32521119940634519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6">
        <v>2309.94</v>
      </c>
      <c r="E36" s="2"/>
      <c r="F36" s="7">
        <f t="shared" si="12"/>
        <v>4.7802654589677949E-3</v>
      </c>
      <c r="G36" s="2"/>
      <c r="H36" s="6">
        <v>4200</v>
      </c>
      <c r="I36" s="2"/>
      <c r="J36" s="7">
        <f t="shared" si="13"/>
        <v>1.488095238095238E-2</v>
      </c>
      <c r="K36" s="2"/>
      <c r="L36" s="6">
        <f t="shared" si="14"/>
        <v>-1890.06</v>
      </c>
      <c r="M36" s="2"/>
      <c r="N36" s="7">
        <f t="shared" si="15"/>
        <v>-0.4500142857142857</v>
      </c>
      <c r="O36" s="11"/>
      <c r="P36" s="6">
        <v>4578.2700000000004</v>
      </c>
      <c r="Q36" s="2"/>
      <c r="R36" s="7">
        <f t="shared" si="16"/>
        <v>9.0441830289296442E-3</v>
      </c>
      <c r="S36" s="2"/>
      <c r="T36" s="6">
        <v>8400</v>
      </c>
      <c r="U36" s="2"/>
      <c r="V36" s="7">
        <f t="shared" si="17"/>
        <v>2.976190476190476E-2</v>
      </c>
      <c r="W36" s="2"/>
      <c r="X36" s="6">
        <f t="shared" si="18"/>
        <v>-3821.7299999999996</v>
      </c>
      <c r="Y36" s="2"/>
      <c r="Z36" s="7">
        <f t="shared" si="19"/>
        <v>-0.45496785714285709</v>
      </c>
    </row>
    <row r="37" spans="1:26" s="28" customFormat="1" outlineLevel="1" collapsed="1" x14ac:dyDescent="0.3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141227.35</v>
      </c>
      <c r="E37" s="1"/>
      <c r="F37" s="5">
        <f t="shared" ref="F37:F47" si="20">IF(D$12=0,0,D37/D$12)</f>
        <v>0.292260501600282</v>
      </c>
      <c r="G37" s="1"/>
      <c r="H37" s="1">
        <f>SUM(OSRRefH22_1x_0)</f>
        <v>202763.4619538461</v>
      </c>
      <c r="I37" s="1"/>
      <c r="J37" s="5">
        <f t="shared" ref="J37:J47" si="21">IF(H$12=0,0,H37/H$12)</f>
        <v>0.71840795760291276</v>
      </c>
      <c r="K37" s="1"/>
      <c r="L37" s="1">
        <f t="shared" ref="L37:L47" si="22">+D37-H37</f>
        <v>-61536.111953846092</v>
      </c>
      <c r="M37" s="1"/>
      <c r="N37" s="5">
        <f t="shared" ref="N37:N47" si="23">IF(H37=0,0,L37/H37)</f>
        <v>-0.30348718334594826</v>
      </c>
      <c r="O37" s="14"/>
      <c r="P37" s="1">
        <f>SUM(OSRRefP22_1x_0)</f>
        <v>241422.88999999996</v>
      </c>
      <c r="Q37" s="1"/>
      <c r="R37" s="5">
        <f t="shared" ref="R37:R47" si="24">IF(P$12=0,0,P37/P$12)</f>
        <v>0.47692093400632718</v>
      </c>
      <c r="S37" s="1"/>
      <c r="T37" s="1">
        <f>SUM(OSRRefT22_1x_0)</f>
        <v>364579.36439615372</v>
      </c>
      <c r="U37" s="1"/>
      <c r="V37" s="5">
        <f t="shared" ref="V37:V47" si="25">IF(T$12=0,0,T37/T$12)</f>
        <v>1.2917352763469165</v>
      </c>
      <c r="W37" s="1"/>
      <c r="X37" s="1">
        <f t="shared" ref="X37:X47" si="26">+P37-T37</f>
        <v>-123156.47439615376</v>
      </c>
      <c r="Y37" s="1"/>
      <c r="Z37" s="5">
        <f t="shared" ref="Z37:Z47" si="27">IF(T37=0,0,X37/T37)</f>
        <v>-0.33780429290104125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>
        <v>8959.5400000000009</v>
      </c>
      <c r="E38" s="2"/>
      <c r="F38" s="7">
        <f t="shared" si="20"/>
        <v>1.8541165394010371E-2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8959.5400000000009</v>
      </c>
      <c r="M38" s="2"/>
      <c r="N38" s="7">
        <f t="shared" si="23"/>
        <v>0</v>
      </c>
      <c r="O38" s="11"/>
      <c r="P38" s="6">
        <v>20159.080000000002</v>
      </c>
      <c r="Q38" s="2"/>
      <c r="R38" s="7">
        <f t="shared" si="24"/>
        <v>3.9823428765633086E-2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20159.080000000002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6">
        <v>31411.62</v>
      </c>
      <c r="E39" s="2"/>
      <c r="F39" s="7">
        <f t="shared" si="20"/>
        <v>6.5004234783683543E-2</v>
      </c>
      <c r="G39" s="2"/>
      <c r="H39" s="6">
        <v>41973.976353846097</v>
      </c>
      <c r="I39" s="2"/>
      <c r="J39" s="7">
        <f t="shared" si="21"/>
        <v>0.14871731984781072</v>
      </c>
      <c r="K39" s="2"/>
      <c r="L39" s="6">
        <f t="shared" si="22"/>
        <v>-10562.356353846099</v>
      </c>
      <c r="M39" s="2"/>
      <c r="N39" s="7">
        <f t="shared" si="23"/>
        <v>-0.25164059427689328</v>
      </c>
      <c r="O39" s="11"/>
      <c r="P39" s="6">
        <v>66535.06</v>
      </c>
      <c r="Q39" s="2"/>
      <c r="R39" s="7">
        <f t="shared" si="24"/>
        <v>0.1314372591570212</v>
      </c>
      <c r="S39" s="2"/>
      <c r="T39" s="6">
        <v>94441.446796153701</v>
      </c>
      <c r="U39" s="2"/>
      <c r="V39" s="7">
        <f t="shared" si="25"/>
        <v>0.33461396965757406</v>
      </c>
      <c r="W39" s="2"/>
      <c r="X39" s="6">
        <f t="shared" si="26"/>
        <v>-27906.386796153703</v>
      </c>
      <c r="Y39" s="2"/>
      <c r="Z39" s="7">
        <f t="shared" si="27"/>
        <v>-0.29548876836234833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6">
        <v>48819.7</v>
      </c>
      <c r="E41" s="2"/>
      <c r="F41" s="7">
        <f t="shared" si="20"/>
        <v>0.10102908544255262</v>
      </c>
      <c r="G41" s="2"/>
      <c r="H41" s="6">
        <v>89518.745599999995</v>
      </c>
      <c r="I41" s="2"/>
      <c r="J41" s="7">
        <f t="shared" si="21"/>
        <v>0.31717242630385484</v>
      </c>
      <c r="K41" s="2"/>
      <c r="L41" s="6">
        <f t="shared" si="22"/>
        <v>-40699.045599999998</v>
      </c>
      <c r="M41" s="2"/>
      <c r="N41" s="7">
        <f t="shared" si="23"/>
        <v>-0.4546427156369805</v>
      </c>
      <c r="O41" s="11"/>
      <c r="P41" s="6">
        <v>87289.59</v>
      </c>
      <c r="Q41" s="2"/>
      <c r="R41" s="7">
        <f t="shared" si="24"/>
        <v>0.17243697476999534</v>
      </c>
      <c r="S41" s="2"/>
      <c r="T41" s="6">
        <v>198867.1776</v>
      </c>
      <c r="U41" s="2"/>
      <c r="V41" s="7">
        <f t="shared" si="25"/>
        <v>0.70460309523809517</v>
      </c>
      <c r="W41" s="2"/>
      <c r="X41" s="6">
        <f t="shared" si="26"/>
        <v>-111577.5876</v>
      </c>
      <c r="Y41" s="2"/>
      <c r="Z41" s="7">
        <f t="shared" si="27"/>
        <v>-0.56106587797221297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11047.7</v>
      </c>
      <c r="E42" s="2"/>
      <c r="F42" s="7">
        <f t="shared" si="20"/>
        <v>2.2862472060329923E-2</v>
      </c>
      <c r="G42" s="2"/>
      <c r="H42" s="6">
        <v>14445.24</v>
      </c>
      <c r="I42" s="2"/>
      <c r="J42" s="7">
        <f t="shared" si="21"/>
        <v>5.1180697278911565E-2</v>
      </c>
      <c r="K42" s="2"/>
      <c r="L42" s="6">
        <f t="shared" si="22"/>
        <v>-3397.5399999999991</v>
      </c>
      <c r="M42" s="2"/>
      <c r="N42" s="7">
        <f t="shared" si="23"/>
        <v>-0.23520135352545193</v>
      </c>
      <c r="O42" s="11"/>
      <c r="P42" s="6">
        <v>15673.58</v>
      </c>
      <c r="Q42" s="2"/>
      <c r="R42" s="7">
        <f t="shared" si="24"/>
        <v>3.0962509034760086E-2</v>
      </c>
      <c r="S42" s="2"/>
      <c r="T42" s="6">
        <v>14445.24</v>
      </c>
      <c r="U42" s="2"/>
      <c r="V42" s="7">
        <f t="shared" si="25"/>
        <v>5.1180697278911565E-2</v>
      </c>
      <c r="W42" s="2"/>
      <c r="X42" s="6">
        <f t="shared" si="26"/>
        <v>1228.3400000000001</v>
      </c>
      <c r="Y42" s="2"/>
      <c r="Z42" s="7">
        <f t="shared" si="27"/>
        <v>8.5034239652646837E-2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6">
        <v>39359.33</v>
      </c>
      <c r="E44" s="2"/>
      <c r="F44" s="7">
        <f t="shared" si="20"/>
        <v>8.1451486050336752E-2</v>
      </c>
      <c r="G44" s="2"/>
      <c r="H44" s="6">
        <v>42825.5</v>
      </c>
      <c r="I44" s="2"/>
      <c r="J44" s="7">
        <f t="shared" si="21"/>
        <v>0.15173433956916099</v>
      </c>
      <c r="K44" s="2"/>
      <c r="L44" s="6">
        <f t="shared" si="22"/>
        <v>-3466.1699999999983</v>
      </c>
      <c r="M44" s="2"/>
      <c r="N44" s="7">
        <f t="shared" si="23"/>
        <v>-8.0937058528213285E-2</v>
      </c>
      <c r="O44" s="11"/>
      <c r="P44" s="6">
        <v>50136.12</v>
      </c>
      <c r="Q44" s="2"/>
      <c r="R44" s="7">
        <f t="shared" si="24"/>
        <v>9.9041831442964273E-2</v>
      </c>
      <c r="S44" s="2"/>
      <c r="T44" s="6">
        <v>42825.5</v>
      </c>
      <c r="U44" s="2"/>
      <c r="V44" s="7">
        <f t="shared" si="25"/>
        <v>0.15173433956916099</v>
      </c>
      <c r="W44" s="2"/>
      <c r="X44" s="6">
        <f t="shared" si="26"/>
        <v>7310.6200000000026</v>
      </c>
      <c r="Y44" s="2"/>
      <c r="Z44" s="7">
        <f t="shared" si="27"/>
        <v>0.17070717212875514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1629.46</v>
      </c>
      <c r="E45" s="2"/>
      <c r="F45" s="7">
        <f t="shared" si="20"/>
        <v>3.3720578693687553E-3</v>
      </c>
      <c r="G45" s="2"/>
      <c r="H45" s="6">
        <v>14000</v>
      </c>
      <c r="I45" s="2"/>
      <c r="J45" s="7">
        <f t="shared" si="21"/>
        <v>4.96031746031746E-2</v>
      </c>
      <c r="K45" s="2"/>
      <c r="L45" s="6">
        <f t="shared" si="22"/>
        <v>-12370.54</v>
      </c>
      <c r="M45" s="2"/>
      <c r="N45" s="7">
        <f t="shared" si="23"/>
        <v>-0.88361000000000012</v>
      </c>
      <c r="O45" s="11"/>
      <c r="P45" s="6">
        <v>1629.46</v>
      </c>
      <c r="Q45" s="2"/>
      <c r="R45" s="7">
        <f t="shared" si="24"/>
        <v>3.218930835953252E-3</v>
      </c>
      <c r="S45" s="2"/>
      <c r="T45" s="6">
        <v>14000</v>
      </c>
      <c r="U45" s="2"/>
      <c r="V45" s="7">
        <f t="shared" si="25"/>
        <v>4.96031746031746E-2</v>
      </c>
      <c r="W45" s="2"/>
      <c r="X45" s="6">
        <f t="shared" si="26"/>
        <v>-12370.54</v>
      </c>
      <c r="Y45" s="2"/>
      <c r="Z45" s="7">
        <f t="shared" si="27"/>
        <v>-0.88361000000000012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3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1971.2</v>
      </c>
      <c r="E48" s="1"/>
      <c r="F48" s="5">
        <f t="shared" ref="F48:F71" si="28">IF(D$12=0,0,D48/D$12)</f>
        <v>4.0792658132753736E-3</v>
      </c>
      <c r="G48" s="1"/>
      <c r="H48" s="1">
        <f>SUM(OSRRefH22_2x_0)</f>
        <v>1688</v>
      </c>
      <c r="I48" s="1"/>
      <c r="J48" s="5">
        <f t="shared" ref="J48:J71" si="29">IF(H$12=0,0,H48/H$12)</f>
        <v>5.9807256235827663E-3</v>
      </c>
      <c r="K48" s="1"/>
      <c r="L48" s="1">
        <f t="shared" ref="L48:L71" si="30">+D48-H48</f>
        <v>283.20000000000005</v>
      </c>
      <c r="M48" s="1"/>
      <c r="N48" s="5">
        <f t="shared" ref="N48:N71" si="31">IF(H48=0,0,L48/H48)</f>
        <v>0.16777251184834127</v>
      </c>
      <c r="O48" s="14"/>
      <c r="P48" s="1">
        <f>SUM(OSRRefP22_2x_0)</f>
        <v>2092.14</v>
      </c>
      <c r="Q48" s="1"/>
      <c r="R48" s="5">
        <f t="shared" ref="R48:R71" si="32">IF(P$12=0,0,P48/P$12)</f>
        <v>4.1329360396273832E-3</v>
      </c>
      <c r="S48" s="1"/>
      <c r="T48" s="1">
        <f>SUM(OSRRefT22_2x_0)</f>
        <v>2638</v>
      </c>
      <c r="U48" s="1"/>
      <c r="V48" s="5">
        <f t="shared" ref="V48:V71" si="33">IF(T$12=0,0,T48/T$12)</f>
        <v>9.3466553287981854E-3</v>
      </c>
      <c r="W48" s="1"/>
      <c r="X48" s="1">
        <f t="shared" ref="X48:X71" si="34">+P48-T48</f>
        <v>-545.86000000000013</v>
      </c>
      <c r="Y48" s="1"/>
      <c r="Z48" s="5">
        <f t="shared" ref="Z48:Z71" si="35">IF(T48=0,0,X48/T48)</f>
        <v>-0.20692191053828662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1971.2</v>
      </c>
      <c r="E49" s="2"/>
      <c r="F49" s="7">
        <f t="shared" si="28"/>
        <v>4.0792658132753736E-3</v>
      </c>
      <c r="G49" s="2"/>
      <c r="H49" s="6">
        <v>1688</v>
      </c>
      <c r="I49" s="2"/>
      <c r="J49" s="7">
        <f t="shared" si="29"/>
        <v>5.9807256235827663E-3</v>
      </c>
      <c r="K49" s="2"/>
      <c r="L49" s="6">
        <f t="shared" si="30"/>
        <v>283.20000000000005</v>
      </c>
      <c r="M49" s="2"/>
      <c r="N49" s="7">
        <f t="shared" si="31"/>
        <v>0.16777251184834127</v>
      </c>
      <c r="O49" s="11"/>
      <c r="P49" s="6">
        <v>2092.14</v>
      </c>
      <c r="Q49" s="2"/>
      <c r="R49" s="7">
        <f t="shared" si="32"/>
        <v>4.1329360396273832E-3</v>
      </c>
      <c r="S49" s="2"/>
      <c r="T49" s="6">
        <v>2638</v>
      </c>
      <c r="U49" s="2"/>
      <c r="V49" s="7">
        <f t="shared" si="33"/>
        <v>9.3466553287981854E-3</v>
      </c>
      <c r="W49" s="2"/>
      <c r="X49" s="6">
        <f t="shared" si="34"/>
        <v>-545.86000000000013</v>
      </c>
      <c r="Y49" s="2"/>
      <c r="Z49" s="7">
        <f t="shared" si="35"/>
        <v>-0.20692191053828662</v>
      </c>
    </row>
    <row r="50" spans="1:26" s="28" customFormat="1" outlineLevel="1" collapsed="1" x14ac:dyDescent="0.3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33</v>
      </c>
      <c r="I50" s="1"/>
      <c r="J50" s="5">
        <f t="shared" si="29"/>
        <v>1.1692176870748299E-4</v>
      </c>
      <c r="K50" s="1"/>
      <c r="L50" s="1">
        <f t="shared" si="30"/>
        <v>-33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48</v>
      </c>
      <c r="U50" s="1"/>
      <c r="V50" s="5">
        <f t="shared" si="33"/>
        <v>1.7006802721088434E-4</v>
      </c>
      <c r="W50" s="1"/>
      <c r="X50" s="1">
        <f t="shared" si="34"/>
        <v>-48</v>
      </c>
      <c r="Y50" s="1"/>
      <c r="Z50" s="5">
        <f t="shared" si="35"/>
        <v>-1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33</v>
      </c>
      <c r="I51" s="2"/>
      <c r="J51" s="7">
        <f t="shared" si="29"/>
        <v>1.1692176870748299E-4</v>
      </c>
      <c r="K51" s="2"/>
      <c r="L51" s="6">
        <f t="shared" si="30"/>
        <v>-33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48</v>
      </c>
      <c r="U51" s="2"/>
      <c r="V51" s="7">
        <f t="shared" si="33"/>
        <v>1.7006802721088434E-4</v>
      </c>
      <c r="W51" s="2"/>
      <c r="X51" s="6">
        <f t="shared" si="34"/>
        <v>-48</v>
      </c>
      <c r="Y51" s="2"/>
      <c r="Z51" s="7">
        <f t="shared" si="35"/>
        <v>-1</v>
      </c>
    </row>
    <row r="52" spans="1:26" s="28" customFormat="1" outlineLevel="1" collapsed="1" x14ac:dyDescent="0.3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121.67</v>
      </c>
      <c r="E52" s="1"/>
      <c r="F52" s="5">
        <f t="shared" si="28"/>
        <v>2.5178788124047014E-4</v>
      </c>
      <c r="G52" s="1"/>
      <c r="H52" s="1">
        <f>SUM(OSRRefH22_4x_0)</f>
        <v>410</v>
      </c>
      <c r="I52" s="1"/>
      <c r="J52" s="5">
        <f t="shared" si="29"/>
        <v>1.4526643990929705E-3</v>
      </c>
      <c r="K52" s="1"/>
      <c r="L52" s="1">
        <f t="shared" si="30"/>
        <v>-288.33</v>
      </c>
      <c r="M52" s="1"/>
      <c r="N52" s="5">
        <f t="shared" si="31"/>
        <v>-0.70324390243902435</v>
      </c>
      <c r="O52" s="14"/>
      <c r="P52" s="1">
        <f>SUM(OSRRefP22_4x_0)</f>
        <v>198.72</v>
      </c>
      <c r="Q52" s="1"/>
      <c r="R52" s="5">
        <f t="shared" si="32"/>
        <v>3.9256314099188089E-4</v>
      </c>
      <c r="S52" s="1"/>
      <c r="T52" s="1">
        <f>SUM(OSRRefT22_4x_0)</f>
        <v>660</v>
      </c>
      <c r="U52" s="1"/>
      <c r="V52" s="5">
        <f t="shared" si="33"/>
        <v>2.3384353741496599E-3</v>
      </c>
      <c r="W52" s="1"/>
      <c r="X52" s="1">
        <f t="shared" si="34"/>
        <v>-461.28</v>
      </c>
      <c r="Y52" s="1"/>
      <c r="Z52" s="5">
        <f t="shared" si="35"/>
        <v>-0.69890909090909081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121.67</v>
      </c>
      <c r="E53" s="2"/>
      <c r="F53" s="7">
        <f t="shared" si="28"/>
        <v>2.5178788124047014E-4</v>
      </c>
      <c r="G53" s="2"/>
      <c r="H53" s="6">
        <v>410</v>
      </c>
      <c r="I53" s="2"/>
      <c r="J53" s="7">
        <f t="shared" si="29"/>
        <v>1.4526643990929705E-3</v>
      </c>
      <c r="K53" s="2"/>
      <c r="L53" s="6">
        <f t="shared" si="30"/>
        <v>-288.33</v>
      </c>
      <c r="M53" s="2"/>
      <c r="N53" s="7">
        <f t="shared" si="31"/>
        <v>-0.70324390243902435</v>
      </c>
      <c r="O53" s="11"/>
      <c r="P53" s="6">
        <v>198.72</v>
      </c>
      <c r="Q53" s="2"/>
      <c r="R53" s="7">
        <f t="shared" si="32"/>
        <v>3.9256314099188089E-4</v>
      </c>
      <c r="S53" s="2"/>
      <c r="T53" s="6">
        <v>660</v>
      </c>
      <c r="U53" s="2"/>
      <c r="V53" s="7">
        <f t="shared" si="33"/>
        <v>2.3384353741496599E-3</v>
      </c>
      <c r="W53" s="2"/>
      <c r="X53" s="6">
        <f t="shared" si="34"/>
        <v>-461.28</v>
      </c>
      <c r="Y53" s="2"/>
      <c r="Z53" s="7">
        <f t="shared" si="35"/>
        <v>-0.69890909090909081</v>
      </c>
    </row>
    <row r="54" spans="1:26" s="28" customFormat="1" outlineLevel="1" collapsed="1" x14ac:dyDescent="0.3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760.04</v>
      </c>
      <c r="E54" s="1"/>
      <c r="F54" s="5">
        <f t="shared" si="28"/>
        <v>1.5728516582395569E-3</v>
      </c>
      <c r="G54" s="1"/>
      <c r="H54" s="1">
        <f>SUM(OSRRefH22_5x_0)</f>
        <v>486</v>
      </c>
      <c r="I54" s="1"/>
      <c r="J54" s="5">
        <f t="shared" si="29"/>
        <v>1.7219387755102041E-3</v>
      </c>
      <c r="K54" s="1"/>
      <c r="L54" s="1">
        <f t="shared" si="30"/>
        <v>274.03999999999996</v>
      </c>
      <c r="M54" s="1"/>
      <c r="N54" s="5">
        <f t="shared" si="31"/>
        <v>0.56386831275720162</v>
      </c>
      <c r="O54" s="14"/>
      <c r="P54" s="1">
        <f>SUM(OSRRefP22_5x_0)</f>
        <v>1520.08</v>
      </c>
      <c r="Q54" s="1"/>
      <c r="R54" s="5">
        <f t="shared" si="32"/>
        <v>3.0028551698819358E-3</v>
      </c>
      <c r="S54" s="1"/>
      <c r="T54" s="1">
        <f>SUM(OSRRefT22_5x_0)</f>
        <v>972</v>
      </c>
      <c r="U54" s="1"/>
      <c r="V54" s="5">
        <f t="shared" si="33"/>
        <v>3.4438775510204083E-3</v>
      </c>
      <c r="W54" s="1"/>
      <c r="X54" s="1">
        <f t="shared" si="34"/>
        <v>548.07999999999993</v>
      </c>
      <c r="Y54" s="1"/>
      <c r="Z54" s="5">
        <f t="shared" si="35"/>
        <v>0.56386831275720162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760.04</v>
      </c>
      <c r="E55" s="2"/>
      <c r="F55" s="7">
        <f t="shared" si="28"/>
        <v>1.5728516582395569E-3</v>
      </c>
      <c r="G55" s="2"/>
      <c r="H55" s="6">
        <v>486</v>
      </c>
      <c r="I55" s="2"/>
      <c r="J55" s="7">
        <f t="shared" si="29"/>
        <v>1.7219387755102041E-3</v>
      </c>
      <c r="K55" s="2"/>
      <c r="L55" s="6">
        <f t="shared" si="30"/>
        <v>274.03999999999996</v>
      </c>
      <c r="M55" s="2"/>
      <c r="N55" s="7">
        <f t="shared" si="31"/>
        <v>0.56386831275720162</v>
      </c>
      <c r="O55" s="11"/>
      <c r="P55" s="6">
        <v>1520.08</v>
      </c>
      <c r="Q55" s="2"/>
      <c r="R55" s="7">
        <f t="shared" si="32"/>
        <v>3.0028551698819358E-3</v>
      </c>
      <c r="S55" s="2"/>
      <c r="T55" s="6">
        <v>972</v>
      </c>
      <c r="U55" s="2"/>
      <c r="V55" s="7">
        <f t="shared" si="33"/>
        <v>3.4438775510204083E-3</v>
      </c>
      <c r="W55" s="2"/>
      <c r="X55" s="6">
        <f t="shared" si="34"/>
        <v>548.07999999999993</v>
      </c>
      <c r="Y55" s="2"/>
      <c r="Z55" s="7">
        <f t="shared" si="35"/>
        <v>0.56386831275720162</v>
      </c>
    </row>
    <row r="56" spans="1:26" s="28" customFormat="1" outlineLevel="1" collapsed="1" x14ac:dyDescent="0.3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4261.5600000000004</v>
      </c>
      <c r="E56" s="1"/>
      <c r="F56" s="5">
        <f t="shared" si="28"/>
        <v>8.8190117792318404E-3</v>
      </c>
      <c r="G56" s="1"/>
      <c r="H56" s="1">
        <f>SUM(OSRRefH22_6x_0)</f>
        <v>15500</v>
      </c>
      <c r="I56" s="1"/>
      <c r="J56" s="5">
        <f t="shared" si="29"/>
        <v>5.4917800453514742E-2</v>
      </c>
      <c r="K56" s="1"/>
      <c r="L56" s="1">
        <f t="shared" si="30"/>
        <v>-11238.439999999999</v>
      </c>
      <c r="M56" s="1"/>
      <c r="N56" s="5">
        <f t="shared" si="31"/>
        <v>-0.72506064516129021</v>
      </c>
      <c r="O56" s="14"/>
      <c r="P56" s="1">
        <f>SUM(OSRRefP22_6x_0)</f>
        <v>4261.5600000000004</v>
      </c>
      <c r="Q56" s="1"/>
      <c r="R56" s="5">
        <f t="shared" si="32"/>
        <v>8.4185355229738339E-3</v>
      </c>
      <c r="S56" s="1"/>
      <c r="T56" s="1">
        <f>SUM(OSRRefT22_6x_0)</f>
        <v>15500</v>
      </c>
      <c r="U56" s="1"/>
      <c r="V56" s="5">
        <f t="shared" si="33"/>
        <v>5.4917800453514742E-2</v>
      </c>
      <c r="W56" s="1"/>
      <c r="X56" s="1">
        <f t="shared" si="34"/>
        <v>-11238.439999999999</v>
      </c>
      <c r="Y56" s="1"/>
      <c r="Z56" s="5">
        <f t="shared" si="35"/>
        <v>-0.72506064516129021</v>
      </c>
    </row>
    <row r="57" spans="1:26" s="24" customFormat="1" hidden="1" outlineLevel="2" x14ac:dyDescent="0.3">
      <c r="A57" s="27"/>
      <c r="B57" s="11" t="str">
        <f>CONCATENATE("          ", "6399", " - ", "DONATION-ON CAMPUS")</f>
        <v xml:space="preserve">          6399 - DONATION-ON CAMPUS</v>
      </c>
      <c r="C57" s="11"/>
      <c r="D57" s="6">
        <v>4261.5600000000004</v>
      </c>
      <c r="E57" s="2"/>
      <c r="F57" s="7">
        <f t="shared" si="28"/>
        <v>8.8190117792318404E-3</v>
      </c>
      <c r="G57" s="2"/>
      <c r="H57" s="6">
        <v>15500</v>
      </c>
      <c r="I57" s="2"/>
      <c r="J57" s="7">
        <f t="shared" si="29"/>
        <v>5.4917800453514742E-2</v>
      </c>
      <c r="K57" s="2"/>
      <c r="L57" s="6">
        <f t="shared" si="30"/>
        <v>-11238.439999999999</v>
      </c>
      <c r="M57" s="2"/>
      <c r="N57" s="7">
        <f t="shared" si="31"/>
        <v>-0.72506064516129021</v>
      </c>
      <c r="O57" s="11"/>
      <c r="P57" s="6">
        <v>4261.5600000000004</v>
      </c>
      <c r="Q57" s="2"/>
      <c r="R57" s="7">
        <f t="shared" si="32"/>
        <v>8.4185355229738339E-3</v>
      </c>
      <c r="S57" s="2"/>
      <c r="T57" s="6">
        <v>15500</v>
      </c>
      <c r="U57" s="2"/>
      <c r="V57" s="7">
        <f t="shared" si="33"/>
        <v>5.4917800453514742E-2</v>
      </c>
      <c r="W57" s="2"/>
      <c r="X57" s="6">
        <f t="shared" si="34"/>
        <v>-11238.439999999999</v>
      </c>
      <c r="Y57" s="2"/>
      <c r="Z57" s="7">
        <f t="shared" si="35"/>
        <v>-0.72506064516129021</v>
      </c>
    </row>
    <row r="58" spans="1:26" s="28" customFormat="1" outlineLevel="1" collapsed="1" x14ac:dyDescent="0.3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200</v>
      </c>
      <c r="I58" s="1"/>
      <c r="J58" s="5">
        <f t="shared" si="29"/>
        <v>7.0861678004535147E-4</v>
      </c>
      <c r="K58" s="1"/>
      <c r="L58" s="1">
        <f t="shared" si="30"/>
        <v>-200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400</v>
      </c>
      <c r="U58" s="1"/>
      <c r="V58" s="5">
        <f t="shared" si="33"/>
        <v>1.4172335600907029E-3</v>
      </c>
      <c r="W58" s="1"/>
      <c r="X58" s="1">
        <f t="shared" si="34"/>
        <v>-400</v>
      </c>
      <c r="Y58" s="1"/>
      <c r="Z58" s="5">
        <f t="shared" si="35"/>
        <v>-1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200</v>
      </c>
      <c r="I59" s="2"/>
      <c r="J59" s="7">
        <f t="shared" si="29"/>
        <v>7.0861678004535147E-4</v>
      </c>
      <c r="K59" s="2"/>
      <c r="L59" s="6">
        <f t="shared" si="30"/>
        <v>-200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400</v>
      </c>
      <c r="U59" s="2"/>
      <c r="V59" s="7">
        <f t="shared" si="33"/>
        <v>1.4172335600907029E-3</v>
      </c>
      <c r="W59" s="2"/>
      <c r="X59" s="6">
        <f t="shared" si="34"/>
        <v>-400</v>
      </c>
      <c r="Y59" s="2"/>
      <c r="Z59" s="7">
        <f t="shared" si="35"/>
        <v>-1</v>
      </c>
    </row>
    <row r="60" spans="1:26" s="28" customFormat="1" outlineLevel="1" collapsed="1" x14ac:dyDescent="0.3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4032.6</v>
      </c>
      <c r="E60" s="1"/>
      <c r="F60" s="5">
        <f t="shared" si="28"/>
        <v>8.3451944595242852E-3</v>
      </c>
      <c r="G60" s="1"/>
      <c r="H60" s="1">
        <f>SUM(OSRRefH22_8x_0)</f>
        <v>795</v>
      </c>
      <c r="I60" s="1"/>
      <c r="J60" s="5">
        <f t="shared" si="29"/>
        <v>2.8167517006802722E-3</v>
      </c>
      <c r="K60" s="1"/>
      <c r="L60" s="1">
        <f t="shared" si="30"/>
        <v>3237.6</v>
      </c>
      <c r="M60" s="1"/>
      <c r="N60" s="5">
        <f t="shared" si="31"/>
        <v>4.0724528301886789</v>
      </c>
      <c r="O60" s="14"/>
      <c r="P60" s="1">
        <f>SUM(OSRRefP22_8x_0)</f>
        <v>4890.13</v>
      </c>
      <c r="Q60" s="1"/>
      <c r="R60" s="5">
        <f t="shared" si="32"/>
        <v>9.6602495604802066E-3</v>
      </c>
      <c r="S60" s="1"/>
      <c r="T60" s="1">
        <f>SUM(OSRRefT22_8x_0)</f>
        <v>1590</v>
      </c>
      <c r="U60" s="1"/>
      <c r="V60" s="5">
        <f t="shared" si="33"/>
        <v>5.6335034013605444E-3</v>
      </c>
      <c r="W60" s="1"/>
      <c r="X60" s="1">
        <f t="shared" si="34"/>
        <v>3300.13</v>
      </c>
      <c r="Y60" s="1"/>
      <c r="Z60" s="5">
        <f t="shared" si="35"/>
        <v>2.0755534591194968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4032.6</v>
      </c>
      <c r="E61" s="2"/>
      <c r="F61" s="7">
        <f t="shared" si="28"/>
        <v>8.3451944595242852E-3</v>
      </c>
      <c r="G61" s="2"/>
      <c r="H61" s="6">
        <v>795</v>
      </c>
      <c r="I61" s="2"/>
      <c r="J61" s="7">
        <f t="shared" si="29"/>
        <v>2.8167517006802722E-3</v>
      </c>
      <c r="K61" s="2"/>
      <c r="L61" s="6">
        <f t="shared" si="30"/>
        <v>3237.6</v>
      </c>
      <c r="M61" s="2"/>
      <c r="N61" s="7">
        <f t="shared" si="31"/>
        <v>4.0724528301886789</v>
      </c>
      <c r="O61" s="11"/>
      <c r="P61" s="6">
        <v>4890.13</v>
      </c>
      <c r="Q61" s="2"/>
      <c r="R61" s="7">
        <f t="shared" si="32"/>
        <v>9.6602495604802066E-3</v>
      </c>
      <c r="S61" s="2"/>
      <c r="T61" s="6">
        <v>1590</v>
      </c>
      <c r="U61" s="2"/>
      <c r="V61" s="7">
        <f t="shared" si="33"/>
        <v>5.6335034013605444E-3</v>
      </c>
      <c r="W61" s="2"/>
      <c r="X61" s="6">
        <f t="shared" si="34"/>
        <v>3300.13</v>
      </c>
      <c r="Y61" s="2"/>
      <c r="Z61" s="7">
        <f t="shared" si="35"/>
        <v>2.0755534591194968</v>
      </c>
    </row>
    <row r="62" spans="1:26" s="28" customFormat="1" outlineLevel="1" collapsed="1" x14ac:dyDescent="0.3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5273.65</v>
      </c>
      <c r="E62" s="1"/>
      <c r="F62" s="5">
        <f t="shared" si="28"/>
        <v>1.0913463959100889E-2</v>
      </c>
      <c r="G62" s="1"/>
      <c r="H62" s="1">
        <f>SUM(OSRRefH22_9x_0)</f>
        <v>530</v>
      </c>
      <c r="I62" s="1"/>
      <c r="J62" s="5">
        <f t="shared" si="29"/>
        <v>1.8778344671201814E-3</v>
      </c>
      <c r="K62" s="1"/>
      <c r="L62" s="1">
        <f t="shared" si="30"/>
        <v>4743.6499999999996</v>
      </c>
      <c r="M62" s="1"/>
      <c r="N62" s="5">
        <f t="shared" si="31"/>
        <v>8.950283018867923</v>
      </c>
      <c r="O62" s="14"/>
      <c r="P62" s="1">
        <f>SUM(OSRRefP22_9x_0)</f>
        <v>5602.1</v>
      </c>
      <c r="Q62" s="1"/>
      <c r="R62" s="5">
        <f t="shared" si="32"/>
        <v>1.1066716848584018E-2</v>
      </c>
      <c r="S62" s="1"/>
      <c r="T62" s="1">
        <f>SUM(OSRRefT22_9x_0)</f>
        <v>5980</v>
      </c>
      <c r="U62" s="1"/>
      <c r="V62" s="5">
        <f t="shared" si="33"/>
        <v>2.1187641723356011E-2</v>
      </c>
      <c r="W62" s="1"/>
      <c r="X62" s="1">
        <f t="shared" si="34"/>
        <v>-377.89999999999964</v>
      </c>
      <c r="Y62" s="1"/>
      <c r="Z62" s="5">
        <f t="shared" si="35"/>
        <v>-6.3193979933110309E-2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6">
        <v>5273.65</v>
      </c>
      <c r="E63" s="2"/>
      <c r="F63" s="7">
        <f t="shared" si="28"/>
        <v>1.0913463959100889E-2</v>
      </c>
      <c r="G63" s="2"/>
      <c r="H63" s="6">
        <v>530</v>
      </c>
      <c r="I63" s="2"/>
      <c r="J63" s="7">
        <f t="shared" si="29"/>
        <v>1.8778344671201814E-3</v>
      </c>
      <c r="K63" s="2"/>
      <c r="L63" s="6">
        <f t="shared" si="30"/>
        <v>4743.6499999999996</v>
      </c>
      <c r="M63" s="2"/>
      <c r="N63" s="7">
        <f t="shared" si="31"/>
        <v>8.950283018867923</v>
      </c>
      <c r="O63" s="11"/>
      <c r="P63" s="6">
        <v>5602.1</v>
      </c>
      <c r="Q63" s="2"/>
      <c r="R63" s="7">
        <f t="shared" si="32"/>
        <v>1.1066716848584018E-2</v>
      </c>
      <c r="S63" s="2"/>
      <c r="T63" s="6">
        <v>5980</v>
      </c>
      <c r="U63" s="2"/>
      <c r="V63" s="7">
        <f t="shared" si="33"/>
        <v>2.1187641723356011E-2</v>
      </c>
      <c r="W63" s="2"/>
      <c r="X63" s="6">
        <f t="shared" si="34"/>
        <v>-377.89999999999964</v>
      </c>
      <c r="Y63" s="2"/>
      <c r="Z63" s="7">
        <f t="shared" si="35"/>
        <v>-6.3193979933110309E-2</v>
      </c>
    </row>
    <row r="64" spans="1:26" s="28" customFormat="1" outlineLevel="1" collapsed="1" x14ac:dyDescent="0.3">
      <c r="A64" s="29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5.21</v>
      </c>
      <c r="E64" s="1"/>
      <c r="F64" s="5">
        <f t="shared" si="28"/>
        <v>1.0781744565323E-5</v>
      </c>
      <c r="G64" s="1"/>
      <c r="H64" s="1">
        <f>SUM(OSRRefH22_10x_0)</f>
        <v>10</v>
      </c>
      <c r="I64" s="1"/>
      <c r="J64" s="5">
        <f t="shared" si="29"/>
        <v>3.5430839002267575E-5</v>
      </c>
      <c r="K64" s="1"/>
      <c r="L64" s="1">
        <f t="shared" si="30"/>
        <v>-4.79</v>
      </c>
      <c r="M64" s="1"/>
      <c r="N64" s="5">
        <f t="shared" si="31"/>
        <v>-0.47899999999999998</v>
      </c>
      <c r="O64" s="14"/>
      <c r="P64" s="1">
        <f>SUM(OSRRefP22_10x_0)</f>
        <v>10.43</v>
      </c>
      <c r="Q64" s="1"/>
      <c r="R64" s="5">
        <f t="shared" si="32"/>
        <v>2.0604033617881026E-5</v>
      </c>
      <c r="S64" s="1"/>
      <c r="T64" s="1">
        <f>SUM(OSRRefT22_10x_0)</f>
        <v>20</v>
      </c>
      <c r="U64" s="1"/>
      <c r="V64" s="5">
        <f t="shared" si="33"/>
        <v>7.0861678004535149E-5</v>
      </c>
      <c r="W64" s="1"/>
      <c r="X64" s="1">
        <f t="shared" si="34"/>
        <v>-9.57</v>
      </c>
      <c r="Y64" s="1"/>
      <c r="Z64" s="5">
        <f t="shared" si="35"/>
        <v>-0.47850000000000004</v>
      </c>
    </row>
    <row r="65" spans="1:26" s="24" customFormat="1" hidden="1" outlineLevel="2" x14ac:dyDescent="0.3">
      <c r="A65" s="27"/>
      <c r="B65" s="11" t="str">
        <f>CONCATENATE("          ", "6314", " - ", "LIABILITY INSURANCE")</f>
        <v xml:space="preserve">          6314 - LIABILITY INSURANCE</v>
      </c>
      <c r="C65" s="11"/>
      <c r="D65" s="6">
        <v>5.21</v>
      </c>
      <c r="E65" s="2"/>
      <c r="F65" s="7">
        <f t="shared" si="28"/>
        <v>1.0781744565323E-5</v>
      </c>
      <c r="G65" s="2"/>
      <c r="H65" s="6">
        <v>10</v>
      </c>
      <c r="I65" s="2"/>
      <c r="J65" s="7">
        <f t="shared" si="29"/>
        <v>3.5430839002267575E-5</v>
      </c>
      <c r="K65" s="2"/>
      <c r="L65" s="6">
        <f t="shared" si="30"/>
        <v>-4.79</v>
      </c>
      <c r="M65" s="2"/>
      <c r="N65" s="7">
        <f t="shared" si="31"/>
        <v>-0.47899999999999998</v>
      </c>
      <c r="O65" s="11"/>
      <c r="P65" s="6">
        <v>10.43</v>
      </c>
      <c r="Q65" s="2"/>
      <c r="R65" s="7">
        <f t="shared" si="32"/>
        <v>2.0604033617881026E-5</v>
      </c>
      <c r="S65" s="2"/>
      <c r="T65" s="6">
        <v>20</v>
      </c>
      <c r="U65" s="2"/>
      <c r="V65" s="7">
        <f t="shared" si="33"/>
        <v>7.0861678004535149E-5</v>
      </c>
      <c r="W65" s="2"/>
      <c r="X65" s="6">
        <f t="shared" si="34"/>
        <v>-9.57</v>
      </c>
      <c r="Y65" s="2"/>
      <c r="Z65" s="7">
        <f t="shared" si="35"/>
        <v>-0.47850000000000004</v>
      </c>
    </row>
    <row r="66" spans="1:26" s="28" customFormat="1" outlineLevel="1" collapsed="1" x14ac:dyDescent="0.3">
      <c r="A66" s="29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38588</v>
      </c>
      <c r="E66" s="1"/>
      <c r="F66" s="5">
        <f t="shared" si="28"/>
        <v>7.9855270496484429E-2</v>
      </c>
      <c r="G66" s="1"/>
      <c r="H66" s="1">
        <f>SUM(OSRRefH22_11x_0)</f>
        <v>22579</v>
      </c>
      <c r="I66" s="1"/>
      <c r="J66" s="5">
        <f t="shared" si="29"/>
        <v>7.9999291383219956E-2</v>
      </c>
      <c r="K66" s="1"/>
      <c r="L66" s="1">
        <f t="shared" si="30"/>
        <v>16009</v>
      </c>
      <c r="M66" s="1"/>
      <c r="N66" s="5">
        <f t="shared" si="31"/>
        <v>0.70902165729217415</v>
      </c>
      <c r="O66" s="14"/>
      <c r="P66" s="1">
        <f>SUM(OSRRefP22_11x_0)</f>
        <v>40156</v>
      </c>
      <c r="Q66" s="1"/>
      <c r="R66" s="5">
        <f t="shared" si="32"/>
        <v>7.932651715816208E-2</v>
      </c>
      <c r="S66" s="1"/>
      <c r="T66" s="1">
        <f>SUM(OSRRefT22_11x_0)</f>
        <v>22579</v>
      </c>
      <c r="U66" s="1"/>
      <c r="V66" s="5">
        <f t="shared" si="33"/>
        <v>7.9999291383219956E-2</v>
      </c>
      <c r="W66" s="1"/>
      <c r="X66" s="1">
        <f t="shared" si="34"/>
        <v>17577</v>
      </c>
      <c r="Y66" s="1"/>
      <c r="Z66" s="5">
        <f t="shared" si="35"/>
        <v>0.77846671686079982</v>
      </c>
    </row>
    <row r="67" spans="1:26" s="24" customFormat="1" hidden="1" outlineLevel="2" x14ac:dyDescent="0.3">
      <c r="A67" s="27"/>
      <c r="B67" s="11" t="str">
        <f>CONCATENATE("          ", "6387", " - ", "COMMISSION DUE HOUSING")</f>
        <v xml:space="preserve">          6387 - COMMISSION DUE HOUSING</v>
      </c>
      <c r="C67" s="11"/>
      <c r="D67" s="6">
        <v>38588</v>
      </c>
      <c r="E67" s="2"/>
      <c r="F67" s="7">
        <f t="shared" si="28"/>
        <v>7.9855270496484429E-2</v>
      </c>
      <c r="G67" s="2"/>
      <c r="H67" s="6">
        <v>22579</v>
      </c>
      <c r="I67" s="2"/>
      <c r="J67" s="7">
        <f t="shared" si="29"/>
        <v>7.9999291383219956E-2</v>
      </c>
      <c r="K67" s="2"/>
      <c r="L67" s="6">
        <f t="shared" si="30"/>
        <v>16009</v>
      </c>
      <c r="M67" s="2"/>
      <c r="N67" s="7">
        <f t="shared" si="31"/>
        <v>0.70902165729217415</v>
      </c>
      <c r="O67" s="11"/>
      <c r="P67" s="6">
        <v>40156</v>
      </c>
      <c r="Q67" s="2"/>
      <c r="R67" s="7">
        <f t="shared" si="32"/>
        <v>7.932651715816208E-2</v>
      </c>
      <c r="S67" s="2"/>
      <c r="T67" s="6">
        <v>22579</v>
      </c>
      <c r="U67" s="2"/>
      <c r="V67" s="7">
        <f t="shared" si="33"/>
        <v>7.9999291383219956E-2</v>
      </c>
      <c r="W67" s="2"/>
      <c r="X67" s="6">
        <f t="shared" si="34"/>
        <v>17577</v>
      </c>
      <c r="Y67" s="2"/>
      <c r="Z67" s="7">
        <f t="shared" si="35"/>
        <v>0.77846671686079982</v>
      </c>
    </row>
    <row r="68" spans="1:26" s="28" customFormat="1" outlineLevel="1" collapsed="1" x14ac:dyDescent="0.3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3542.3</v>
      </c>
      <c r="E68" s="1"/>
      <c r="F68" s="5">
        <f t="shared" si="28"/>
        <v>7.3305515880506067E-3</v>
      </c>
      <c r="G68" s="1"/>
      <c r="H68" s="1">
        <f>SUM(OSRRefH22_12x_0)</f>
        <v>5850</v>
      </c>
      <c r="I68" s="1"/>
      <c r="J68" s="5">
        <f t="shared" si="29"/>
        <v>2.0727040816326529E-2</v>
      </c>
      <c r="K68" s="1"/>
      <c r="L68" s="1">
        <f t="shared" si="30"/>
        <v>-2307.6999999999998</v>
      </c>
      <c r="M68" s="1"/>
      <c r="N68" s="5">
        <f t="shared" si="31"/>
        <v>-0.39447863247863246</v>
      </c>
      <c r="O68" s="14"/>
      <c r="P68" s="1">
        <f>SUM(OSRRefP22_12x_0)</f>
        <v>7671.3</v>
      </c>
      <c r="Q68" s="1"/>
      <c r="R68" s="5">
        <f t="shared" si="32"/>
        <v>1.5154335867003906E-2</v>
      </c>
      <c r="S68" s="1"/>
      <c r="T68" s="1">
        <f>SUM(OSRRefT22_12x_0)</f>
        <v>9900</v>
      </c>
      <c r="U68" s="1"/>
      <c r="V68" s="5">
        <f t="shared" si="33"/>
        <v>3.5076530612244895E-2</v>
      </c>
      <c r="W68" s="1"/>
      <c r="X68" s="1">
        <f t="shared" si="34"/>
        <v>-2228.6999999999998</v>
      </c>
      <c r="Y68" s="1"/>
      <c r="Z68" s="5">
        <f t="shared" si="35"/>
        <v>-0.22512121212121211</v>
      </c>
    </row>
    <row r="69" spans="1:26" s="24" customFormat="1" hidden="1" outlineLevel="2" x14ac:dyDescent="0.3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6">
        <v>3500</v>
      </c>
      <c r="E69" s="2"/>
      <c r="F69" s="7">
        <f t="shared" si="28"/>
        <v>7.2430145832304222E-3</v>
      </c>
      <c r="G69" s="2"/>
      <c r="H69" s="6">
        <v>3500</v>
      </c>
      <c r="I69" s="2"/>
      <c r="J69" s="7">
        <f t="shared" si="29"/>
        <v>1.240079365079365E-2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>
        <v>7000</v>
      </c>
      <c r="Q69" s="2"/>
      <c r="R69" s="7">
        <f t="shared" si="32"/>
        <v>1.3828210481799347E-2</v>
      </c>
      <c r="S69" s="2"/>
      <c r="T69" s="6">
        <v>7000</v>
      </c>
      <c r="U69" s="2"/>
      <c r="V69" s="7">
        <f t="shared" si="33"/>
        <v>2.48015873015873E-2</v>
      </c>
      <c r="W69" s="2"/>
      <c r="X69" s="6">
        <f t="shared" si="34"/>
        <v>0</v>
      </c>
      <c r="Y69" s="2"/>
      <c r="Z69" s="7">
        <f t="shared" si="35"/>
        <v>0</v>
      </c>
    </row>
    <row r="70" spans="1:26" s="24" customFormat="1" hidden="1" outlineLevel="2" x14ac:dyDescent="0.3">
      <c r="A70" s="27"/>
      <c r="B70" s="11" t="str">
        <f>CONCATENATE("          ", "6373", " - ", "MAINTENANCE CONTRACTS")</f>
        <v xml:space="preserve">          6373 - MAINTENANCE CONTRACTS</v>
      </c>
      <c r="C70" s="11"/>
      <c r="D70" s="6"/>
      <c r="E70" s="2"/>
      <c r="F70" s="7">
        <f t="shared" si="28"/>
        <v>0</v>
      </c>
      <c r="G70" s="2"/>
      <c r="H70" s="6">
        <v>1800</v>
      </c>
      <c r="I70" s="2"/>
      <c r="J70" s="7">
        <f t="shared" si="29"/>
        <v>6.3775510204081634E-3</v>
      </c>
      <c r="K70" s="2"/>
      <c r="L70" s="6">
        <f t="shared" si="30"/>
        <v>-1800</v>
      </c>
      <c r="M70" s="2"/>
      <c r="N70" s="7">
        <f t="shared" si="31"/>
        <v>-1</v>
      </c>
      <c r="O70" s="11"/>
      <c r="P70" s="6">
        <v>14</v>
      </c>
      <c r="Q70" s="2"/>
      <c r="R70" s="7">
        <f t="shared" si="32"/>
        <v>2.7656420963598694E-5</v>
      </c>
      <c r="S70" s="2"/>
      <c r="T70" s="6">
        <v>1800</v>
      </c>
      <c r="U70" s="2"/>
      <c r="V70" s="7">
        <f t="shared" si="33"/>
        <v>6.3775510204081634E-3</v>
      </c>
      <c r="W70" s="2"/>
      <c r="X70" s="6">
        <f t="shared" si="34"/>
        <v>-1786</v>
      </c>
      <c r="Y70" s="2"/>
      <c r="Z70" s="7">
        <f t="shared" si="35"/>
        <v>-0.99222222222222223</v>
      </c>
    </row>
    <row r="71" spans="1:26" s="24" customFormat="1" hidden="1" outlineLevel="2" x14ac:dyDescent="0.3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42.3</v>
      </c>
      <c r="E71" s="2"/>
      <c r="F71" s="7">
        <f t="shared" si="28"/>
        <v>8.7537004820184805E-5</v>
      </c>
      <c r="G71" s="2"/>
      <c r="H71" s="6">
        <v>550</v>
      </c>
      <c r="I71" s="2"/>
      <c r="J71" s="7">
        <f t="shared" si="29"/>
        <v>1.9486961451247165E-3</v>
      </c>
      <c r="K71" s="2"/>
      <c r="L71" s="6">
        <f t="shared" si="30"/>
        <v>-507.7</v>
      </c>
      <c r="M71" s="2"/>
      <c r="N71" s="7">
        <f t="shared" si="31"/>
        <v>-0.92309090909090907</v>
      </c>
      <c r="O71" s="11"/>
      <c r="P71" s="6">
        <v>657.3</v>
      </c>
      <c r="Q71" s="2"/>
      <c r="R71" s="7">
        <f t="shared" si="32"/>
        <v>1.2984689642409587E-3</v>
      </c>
      <c r="S71" s="2"/>
      <c r="T71" s="6">
        <v>1100</v>
      </c>
      <c r="U71" s="2"/>
      <c r="V71" s="7">
        <f t="shared" si="33"/>
        <v>3.897392290249433E-3</v>
      </c>
      <c r="W71" s="2"/>
      <c r="X71" s="6">
        <f t="shared" si="34"/>
        <v>-442.70000000000005</v>
      </c>
      <c r="Y71" s="2"/>
      <c r="Z71" s="7">
        <f t="shared" si="35"/>
        <v>-0.40245454545454551</v>
      </c>
    </row>
    <row r="72" spans="1:26" s="28" customFormat="1" outlineLevel="1" collapsed="1" x14ac:dyDescent="0.3">
      <c r="A72" s="29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13804.32</v>
      </c>
      <c r="E72" s="1"/>
      <c r="F72" s="5">
        <f t="shared" ref="F72:F76" si="36">IF(D$12=0,0,D72/D$12)</f>
        <v>2.8567111734736965E-2</v>
      </c>
      <c r="G72" s="1"/>
      <c r="H72" s="1">
        <f>SUM(OSRRefH22_13x_0)</f>
        <v>21272</v>
      </c>
      <c r="I72" s="1"/>
      <c r="J72" s="5">
        <f t="shared" ref="J72:J76" si="37">IF(H$12=0,0,H72/H$12)</f>
        <v>7.5368480725623577E-2</v>
      </c>
      <c r="K72" s="1"/>
      <c r="L72" s="1">
        <f t="shared" ref="L72:L76" si="38">+D72-H72</f>
        <v>-7467.68</v>
      </c>
      <c r="M72" s="1"/>
      <c r="N72" s="5">
        <f t="shared" ref="N72:N76" si="39">IF(H72=0,0,L72/H72)</f>
        <v>-0.35105678826626552</v>
      </c>
      <c r="O72" s="14"/>
      <c r="P72" s="1">
        <f>SUM(OSRRefP22_13x_0)</f>
        <v>26883.239999999998</v>
      </c>
      <c r="Q72" s="1"/>
      <c r="R72" s="5">
        <f t="shared" ref="R72:R76" si="40">IF(P$12=0,0,P72/P$12)</f>
        <v>5.310672873610392E-2</v>
      </c>
      <c r="S72" s="1"/>
      <c r="T72" s="1">
        <f>SUM(OSRRefT22_13x_0)</f>
        <v>40944</v>
      </c>
      <c r="U72" s="1"/>
      <c r="V72" s="5">
        <f t="shared" ref="V72:V76" si="41">IF(T$12=0,0,T72/T$12)</f>
        <v>0.14506802721088435</v>
      </c>
      <c r="W72" s="1"/>
      <c r="X72" s="1">
        <f t="shared" ref="X72:X76" si="42">+P72-T72</f>
        <v>-14060.760000000002</v>
      </c>
      <c r="Y72" s="1"/>
      <c r="Z72" s="5">
        <f t="shared" ref="Z72:Z76" si="43">IF(T72=0,0,X72/T72)</f>
        <v>-0.34341441969519348</v>
      </c>
    </row>
    <row r="73" spans="1:26" s="24" customFormat="1" hidden="1" outlineLevel="2" x14ac:dyDescent="0.3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421.34</v>
      </c>
      <c r="E73" s="2"/>
      <c r="F73" s="7">
        <f t="shared" si="36"/>
        <v>8.719347898566588E-4</v>
      </c>
      <c r="G73" s="2"/>
      <c r="H73" s="6">
        <v>1570</v>
      </c>
      <c r="I73" s="2"/>
      <c r="J73" s="7">
        <f t="shared" si="37"/>
        <v>5.5626417233560089E-3</v>
      </c>
      <c r="K73" s="2"/>
      <c r="L73" s="6">
        <f t="shared" si="38"/>
        <v>-1148.6600000000001</v>
      </c>
      <c r="M73" s="2"/>
      <c r="N73" s="7">
        <f t="shared" si="39"/>
        <v>-0.73163057324840775</v>
      </c>
      <c r="O73" s="11"/>
      <c r="P73" s="6">
        <v>1929.84</v>
      </c>
      <c r="Q73" s="2"/>
      <c r="R73" s="7">
        <f t="shared" si="40"/>
        <v>3.8123191023136643E-3</v>
      </c>
      <c r="S73" s="2"/>
      <c r="T73" s="6">
        <v>3140</v>
      </c>
      <c r="U73" s="2"/>
      <c r="V73" s="7">
        <f t="shared" si="41"/>
        <v>1.1125283446712018E-2</v>
      </c>
      <c r="W73" s="2"/>
      <c r="X73" s="6">
        <f t="shared" si="42"/>
        <v>-1210.1600000000001</v>
      </c>
      <c r="Y73" s="2"/>
      <c r="Z73" s="7">
        <f t="shared" si="43"/>
        <v>-0.38540127388535034</v>
      </c>
    </row>
    <row r="74" spans="1:26" s="24" customFormat="1" hidden="1" outlineLevel="2" x14ac:dyDescent="0.3">
      <c r="A74" s="27"/>
      <c r="B74" s="11" t="str">
        <f>CONCATENATE("          ", "6284", " - ", "TRASH REMOVAL EXPENSE")</f>
        <v xml:space="preserve">          6284 - TRASH REMOVAL EXPENSE</v>
      </c>
      <c r="C74" s="11"/>
      <c r="D74" s="6"/>
      <c r="E74" s="2"/>
      <c r="F74" s="7">
        <f t="shared" si="36"/>
        <v>0</v>
      </c>
      <c r="G74" s="2"/>
      <c r="H74" s="6">
        <v>600</v>
      </c>
      <c r="I74" s="2"/>
      <c r="J74" s="7">
        <f t="shared" si="37"/>
        <v>2.1258503401360546E-3</v>
      </c>
      <c r="K74" s="2"/>
      <c r="L74" s="6">
        <f t="shared" si="38"/>
        <v>-600</v>
      </c>
      <c r="M74" s="2"/>
      <c r="N74" s="7">
        <f t="shared" si="39"/>
        <v>-1</v>
      </c>
      <c r="O74" s="11"/>
      <c r="P74" s="6"/>
      <c r="Q74" s="2"/>
      <c r="R74" s="7">
        <f t="shared" si="40"/>
        <v>0</v>
      </c>
      <c r="S74" s="2"/>
      <c r="T74" s="6">
        <v>1200</v>
      </c>
      <c r="U74" s="2"/>
      <c r="V74" s="7">
        <f t="shared" si="41"/>
        <v>4.2517006802721092E-3</v>
      </c>
      <c r="W74" s="2"/>
      <c r="X74" s="6">
        <f t="shared" si="42"/>
        <v>-1200</v>
      </c>
      <c r="Y74" s="2"/>
      <c r="Z74" s="7">
        <f t="shared" si="43"/>
        <v>-1</v>
      </c>
    </row>
    <row r="75" spans="1:26" s="24" customFormat="1" hidden="1" outlineLevel="2" x14ac:dyDescent="0.3">
      <c r="A75" s="27"/>
      <c r="B75" s="11" t="str">
        <f>CONCATENATE("          ", "6285", " - ", "JANITORIAL SERVICES")</f>
        <v xml:space="preserve">          6285 - JANITORIAL SERVICES</v>
      </c>
      <c r="C75" s="11"/>
      <c r="D75" s="6">
        <v>11040.09</v>
      </c>
      <c r="E75" s="2"/>
      <c r="F75" s="7">
        <f t="shared" si="36"/>
        <v>2.2846723677193242E-2</v>
      </c>
      <c r="G75" s="2"/>
      <c r="H75" s="6">
        <v>14335</v>
      </c>
      <c r="I75" s="2"/>
      <c r="J75" s="7">
        <f t="shared" si="37"/>
        <v>5.0790107709750565E-2</v>
      </c>
      <c r="K75" s="2"/>
      <c r="L75" s="6">
        <f t="shared" si="38"/>
        <v>-3294.91</v>
      </c>
      <c r="M75" s="2"/>
      <c r="N75" s="7">
        <f t="shared" si="39"/>
        <v>-0.22985071503313567</v>
      </c>
      <c r="O75" s="11"/>
      <c r="P75" s="6">
        <v>21687.279999999999</v>
      </c>
      <c r="Q75" s="2"/>
      <c r="R75" s="7">
        <f t="shared" si="40"/>
        <v>4.2842324659673907E-2</v>
      </c>
      <c r="S75" s="2"/>
      <c r="T75" s="6">
        <v>28670</v>
      </c>
      <c r="U75" s="2"/>
      <c r="V75" s="7">
        <f t="shared" si="41"/>
        <v>0.10158021541950113</v>
      </c>
      <c r="W75" s="2"/>
      <c r="X75" s="6">
        <f t="shared" si="42"/>
        <v>-6982.7200000000012</v>
      </c>
      <c r="Y75" s="2"/>
      <c r="Z75" s="7">
        <f t="shared" si="43"/>
        <v>-0.2435549354726195</v>
      </c>
    </row>
    <row r="76" spans="1:26" s="24" customFormat="1" hidden="1" outlineLevel="2" x14ac:dyDescent="0.3">
      <c r="A76" s="27"/>
      <c r="B76" s="11" t="str">
        <f>CONCATENATE("          ", "6286", " - ", "LAUNDRY EXPENSE")</f>
        <v xml:space="preserve">          6286 - LAUNDRY EXPENSE</v>
      </c>
      <c r="C76" s="11"/>
      <c r="D76" s="6">
        <v>2342.89</v>
      </c>
      <c r="E76" s="2"/>
      <c r="F76" s="7">
        <f t="shared" si="36"/>
        <v>4.8484532676870635E-3</v>
      </c>
      <c r="G76" s="2"/>
      <c r="H76" s="6">
        <v>4767</v>
      </c>
      <c r="I76" s="2"/>
      <c r="J76" s="7">
        <f t="shared" si="37"/>
        <v>1.6889880952380951E-2</v>
      </c>
      <c r="K76" s="2"/>
      <c r="L76" s="6">
        <f t="shared" si="38"/>
        <v>-2424.11</v>
      </c>
      <c r="M76" s="2"/>
      <c r="N76" s="7">
        <f t="shared" si="39"/>
        <v>-0.50851898468638557</v>
      </c>
      <c r="O76" s="11"/>
      <c r="P76" s="6">
        <v>3266.12</v>
      </c>
      <c r="Q76" s="2"/>
      <c r="R76" s="7">
        <f t="shared" si="40"/>
        <v>6.4520849741163547E-3</v>
      </c>
      <c r="S76" s="2"/>
      <c r="T76" s="6">
        <v>7934</v>
      </c>
      <c r="U76" s="2"/>
      <c r="V76" s="7">
        <f t="shared" si="41"/>
        <v>2.8110827664399093E-2</v>
      </c>
      <c r="W76" s="2"/>
      <c r="X76" s="6">
        <f t="shared" si="42"/>
        <v>-4667.88</v>
      </c>
      <c r="Y76" s="2"/>
      <c r="Z76" s="7">
        <f t="shared" si="43"/>
        <v>-0.5883387950592387</v>
      </c>
    </row>
    <row r="77" spans="1:26" s="28" customFormat="1" outlineLevel="1" collapsed="1" x14ac:dyDescent="0.3">
      <c r="A77" s="29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22909.620000000003</v>
      </c>
      <c r="E77" s="1"/>
      <c r="F77" s="5">
        <f t="shared" ref="F77:F84" si="44">IF(D$12=0,0,D77/D$12)</f>
        <v>4.7409917644647817E-2</v>
      </c>
      <c r="G77" s="1"/>
      <c r="H77" s="1">
        <f>SUM(OSRRefH22_14x_0)</f>
        <v>34250</v>
      </c>
      <c r="I77" s="1"/>
      <c r="J77" s="5">
        <f t="shared" ref="J77:J84" si="45">IF(H$12=0,0,H77/H$12)</f>
        <v>0.12135062358276644</v>
      </c>
      <c r="K77" s="1"/>
      <c r="L77" s="1">
        <f t="shared" ref="L77:L84" si="46">+D77-H77</f>
        <v>-11340.379999999997</v>
      </c>
      <c r="M77" s="1"/>
      <c r="N77" s="5">
        <f t="shared" ref="N77:N84" si="47">IF(H77=0,0,L77/H77)</f>
        <v>-0.3311059854014598</v>
      </c>
      <c r="O77" s="14"/>
      <c r="P77" s="1">
        <f>SUM(OSRRefP22_14x_0)</f>
        <v>28120.3</v>
      </c>
      <c r="Q77" s="1"/>
      <c r="R77" s="5">
        <f t="shared" ref="R77:R84" si="48">IF(P$12=0,0,P77/P$12)</f>
        <v>5.5550489601620311E-2</v>
      </c>
      <c r="S77" s="1"/>
      <c r="T77" s="1">
        <f>SUM(OSRRefT22_14x_0)</f>
        <v>65500</v>
      </c>
      <c r="U77" s="1"/>
      <c r="V77" s="5">
        <f t="shared" ref="V77:V84" si="49">IF(T$12=0,0,T77/T$12)</f>
        <v>0.2320719954648526</v>
      </c>
      <c r="W77" s="1"/>
      <c r="X77" s="1">
        <f t="shared" ref="X77:X84" si="50">+P77-T77</f>
        <v>-37379.699999999997</v>
      </c>
      <c r="Y77" s="1"/>
      <c r="Z77" s="5">
        <f t="shared" ref="Z77:Z84" si="51">IF(T77=0,0,X77/T77)</f>
        <v>-0.57068244274809155</v>
      </c>
    </row>
    <row r="78" spans="1:26" s="24" customFormat="1" hidden="1" outlineLevel="2" x14ac:dyDescent="0.3">
      <c r="A78" s="27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44"/>
        <v>0</v>
      </c>
      <c r="G78" s="2"/>
      <c r="H78" s="6">
        <v>342</v>
      </c>
      <c r="I78" s="2"/>
      <c r="J78" s="7">
        <f t="shared" si="45"/>
        <v>1.211734693877551E-3</v>
      </c>
      <c r="K78" s="2"/>
      <c r="L78" s="6">
        <f t="shared" si="46"/>
        <v>-342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684</v>
      </c>
      <c r="U78" s="2"/>
      <c r="V78" s="7">
        <f t="shared" si="49"/>
        <v>2.423469387755102E-3</v>
      </c>
      <c r="W78" s="2"/>
      <c r="X78" s="6">
        <f t="shared" si="50"/>
        <v>-684</v>
      </c>
      <c r="Y78" s="2"/>
      <c r="Z78" s="7">
        <f t="shared" si="51"/>
        <v>-1</v>
      </c>
    </row>
    <row r="79" spans="1:26" s="24" customFormat="1" hidden="1" outlineLevel="2" x14ac:dyDescent="0.3">
      <c r="A79" s="27"/>
      <c r="B79" s="11" t="str">
        <f>CONCATENATE("          ", "6237", " - ", "JANITORIAL SUPPLIES")</f>
        <v xml:space="preserve">          6237 - JANITORIAL SUPPLIES</v>
      </c>
      <c r="C79" s="11"/>
      <c r="D79" s="6">
        <v>2430.13</v>
      </c>
      <c r="E79" s="2"/>
      <c r="F79" s="7">
        <f t="shared" si="44"/>
        <v>5.028990579755927E-3</v>
      </c>
      <c r="G79" s="2"/>
      <c r="H79" s="6">
        <v>11750</v>
      </c>
      <c r="I79" s="2"/>
      <c r="J79" s="7">
        <f t="shared" si="45"/>
        <v>4.1631235827664398E-2</v>
      </c>
      <c r="K79" s="2"/>
      <c r="L79" s="6">
        <f t="shared" si="46"/>
        <v>-9319.869999999999</v>
      </c>
      <c r="M79" s="2"/>
      <c r="N79" s="7">
        <f t="shared" si="47"/>
        <v>-0.79318042553191481</v>
      </c>
      <c r="O79" s="11"/>
      <c r="P79" s="6">
        <v>6132.08</v>
      </c>
      <c r="Q79" s="2"/>
      <c r="R79" s="7">
        <f t="shared" si="48"/>
        <v>1.2113670418747448E-2</v>
      </c>
      <c r="S79" s="2"/>
      <c r="T79" s="6">
        <v>22500</v>
      </c>
      <c r="U79" s="2"/>
      <c r="V79" s="7">
        <f t="shared" si="49"/>
        <v>7.9719387755102039E-2</v>
      </c>
      <c r="W79" s="2"/>
      <c r="X79" s="6">
        <f t="shared" si="50"/>
        <v>-16367.92</v>
      </c>
      <c r="Y79" s="2"/>
      <c r="Z79" s="7">
        <f t="shared" si="51"/>
        <v>-0.72746311111111106</v>
      </c>
    </row>
    <row r="80" spans="1:26" s="24" customFormat="1" hidden="1" outlineLevel="2" x14ac:dyDescent="0.3">
      <c r="A80" s="27"/>
      <c r="B80" s="11" t="str">
        <f>CONCATENATE("          ", "6239", " - ", "KITCHEN SUPPLIES")</f>
        <v xml:space="preserve">          6239 - KITCHEN SUPPLIES</v>
      </c>
      <c r="C80" s="11"/>
      <c r="D80" s="6">
        <v>2851.2</v>
      </c>
      <c r="E80" s="2"/>
      <c r="F80" s="7">
        <f t="shared" si="44"/>
        <v>5.9003666227733075E-3</v>
      </c>
      <c r="G80" s="2"/>
      <c r="H80" s="6">
        <v>6300</v>
      </c>
      <c r="I80" s="2"/>
      <c r="J80" s="7">
        <f t="shared" si="45"/>
        <v>2.2321428571428572E-2</v>
      </c>
      <c r="K80" s="2"/>
      <c r="L80" s="6">
        <f t="shared" si="46"/>
        <v>-3448.8</v>
      </c>
      <c r="M80" s="2"/>
      <c r="N80" s="7">
        <f t="shared" si="47"/>
        <v>-0.54742857142857149</v>
      </c>
      <c r="O80" s="11"/>
      <c r="P80" s="6">
        <v>2851.2</v>
      </c>
      <c r="Q80" s="2"/>
      <c r="R80" s="7">
        <f t="shared" si="48"/>
        <v>5.6324276751008994E-3</v>
      </c>
      <c r="S80" s="2"/>
      <c r="T80" s="6">
        <v>12600</v>
      </c>
      <c r="U80" s="2"/>
      <c r="V80" s="7">
        <f t="shared" si="49"/>
        <v>4.4642857142857144E-2</v>
      </c>
      <c r="W80" s="2"/>
      <c r="X80" s="6">
        <f t="shared" si="50"/>
        <v>-9748.7999999999993</v>
      </c>
      <c r="Y80" s="2"/>
      <c r="Z80" s="7">
        <f t="shared" si="51"/>
        <v>-0.77371428571428569</v>
      </c>
    </row>
    <row r="81" spans="1:26" s="24" customFormat="1" hidden="1" outlineLevel="2" x14ac:dyDescent="0.3">
      <c r="A81" s="27"/>
      <c r="B81" s="11" t="str">
        <f>CONCATENATE("          ", "6241", " - ", "OFFICE EXPENSE")</f>
        <v xml:space="preserve">          6241 - OFFICE EXPENSE</v>
      </c>
      <c r="C81" s="11"/>
      <c r="D81" s="6">
        <v>3278.6</v>
      </c>
      <c r="E81" s="2"/>
      <c r="F81" s="7">
        <f t="shared" si="44"/>
        <v>6.7848421750226458E-3</v>
      </c>
      <c r="G81" s="2"/>
      <c r="H81" s="6">
        <v>1445</v>
      </c>
      <c r="I81" s="2"/>
      <c r="J81" s="7">
        <f t="shared" si="45"/>
        <v>5.1197562358276643E-3</v>
      </c>
      <c r="K81" s="2"/>
      <c r="L81" s="6">
        <f t="shared" si="46"/>
        <v>1833.6</v>
      </c>
      <c r="M81" s="2"/>
      <c r="N81" s="7">
        <f t="shared" si="47"/>
        <v>1.2689273356401383</v>
      </c>
      <c r="O81" s="11"/>
      <c r="P81" s="6">
        <v>3724.26</v>
      </c>
      <c r="Q81" s="2"/>
      <c r="R81" s="7">
        <f t="shared" si="48"/>
        <v>7.3571215955637202E-3</v>
      </c>
      <c r="S81" s="2"/>
      <c r="T81" s="6">
        <v>2890</v>
      </c>
      <c r="U81" s="2"/>
      <c r="V81" s="7">
        <f t="shared" si="49"/>
        <v>1.0239512471655329E-2</v>
      </c>
      <c r="W81" s="2"/>
      <c r="X81" s="6">
        <f t="shared" si="50"/>
        <v>834.26000000000022</v>
      </c>
      <c r="Y81" s="2"/>
      <c r="Z81" s="7">
        <f t="shared" si="51"/>
        <v>0.28867128027681671</v>
      </c>
    </row>
    <row r="82" spans="1:26" s="24" customFormat="1" hidden="1" outlineLevel="2" x14ac:dyDescent="0.3">
      <c r="A82" s="27"/>
      <c r="B82" s="11" t="str">
        <f>CONCATENATE("          ", "6243", " - ", "PAPER SUPPLIES")</f>
        <v xml:space="preserve">          6243 - PAPER SUPPLIES</v>
      </c>
      <c r="C82" s="11"/>
      <c r="D82" s="6">
        <v>14349.69</v>
      </c>
      <c r="E82" s="2"/>
      <c r="F82" s="7">
        <f t="shared" si="44"/>
        <v>2.9695718267095932E-2</v>
      </c>
      <c r="G82" s="2"/>
      <c r="H82" s="6">
        <v>13300</v>
      </c>
      <c r="I82" s="2"/>
      <c r="J82" s="7">
        <f t="shared" si="45"/>
        <v>4.7123015873015872E-2</v>
      </c>
      <c r="K82" s="2"/>
      <c r="L82" s="6">
        <f t="shared" si="46"/>
        <v>1049.6900000000005</v>
      </c>
      <c r="M82" s="2"/>
      <c r="N82" s="7">
        <f t="shared" si="47"/>
        <v>7.892406015037598E-2</v>
      </c>
      <c r="O82" s="11"/>
      <c r="P82" s="6">
        <v>15412.76</v>
      </c>
      <c r="Q82" s="2"/>
      <c r="R82" s="7">
        <f t="shared" si="48"/>
        <v>3.0447269912208245E-2</v>
      </c>
      <c r="S82" s="2"/>
      <c r="T82" s="6">
        <v>24600</v>
      </c>
      <c r="U82" s="2"/>
      <c r="V82" s="7">
        <f t="shared" si="49"/>
        <v>8.7159863945578231E-2</v>
      </c>
      <c r="W82" s="2"/>
      <c r="X82" s="6">
        <f t="shared" si="50"/>
        <v>-9187.24</v>
      </c>
      <c r="Y82" s="2"/>
      <c r="Z82" s="7">
        <f t="shared" si="51"/>
        <v>-0.37346504065040648</v>
      </c>
    </row>
    <row r="83" spans="1:26" s="24" customFormat="1" hidden="1" outlineLevel="2" x14ac:dyDescent="0.3">
      <c r="A83" s="27"/>
      <c r="B83" s="11" t="str">
        <f>CONCATENATE("          ", "6244", " - ", "SAFETY SUPPLY EXPENSE")</f>
        <v xml:space="preserve">          6244 - SAFETY SUPPLY EXPENSE</v>
      </c>
      <c r="C83" s="11"/>
      <c r="D83" s="6"/>
      <c r="E83" s="2"/>
      <c r="F83" s="7">
        <f t="shared" si="44"/>
        <v>0</v>
      </c>
      <c r="G83" s="2"/>
      <c r="H83" s="6">
        <v>525</v>
      </c>
      <c r="I83" s="2"/>
      <c r="J83" s="7">
        <f t="shared" si="45"/>
        <v>1.8601190476190475E-3</v>
      </c>
      <c r="K83" s="2"/>
      <c r="L83" s="6">
        <f t="shared" si="46"/>
        <v>-525</v>
      </c>
      <c r="M83" s="2"/>
      <c r="N83" s="7">
        <f t="shared" si="47"/>
        <v>-1</v>
      </c>
      <c r="O83" s="11"/>
      <c r="P83" s="6"/>
      <c r="Q83" s="2"/>
      <c r="R83" s="7">
        <f t="shared" si="48"/>
        <v>0</v>
      </c>
      <c r="S83" s="2"/>
      <c r="T83" s="6">
        <v>1050</v>
      </c>
      <c r="U83" s="2"/>
      <c r="V83" s="7">
        <f t="shared" si="49"/>
        <v>3.720238095238095E-3</v>
      </c>
      <c r="W83" s="2"/>
      <c r="X83" s="6">
        <f t="shared" si="50"/>
        <v>-1050</v>
      </c>
      <c r="Y83" s="2"/>
      <c r="Z83" s="7">
        <f t="shared" si="51"/>
        <v>-1</v>
      </c>
    </row>
    <row r="84" spans="1:26" s="24" customFormat="1" hidden="1" outlineLevel="2" x14ac:dyDescent="0.3">
      <c r="A84" s="27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44"/>
        <v>0</v>
      </c>
      <c r="G84" s="2"/>
      <c r="H84" s="6">
        <v>588</v>
      </c>
      <c r="I84" s="2"/>
      <c r="J84" s="7">
        <f t="shared" si="45"/>
        <v>2.0833333333333333E-3</v>
      </c>
      <c r="K84" s="2"/>
      <c r="L84" s="6">
        <f t="shared" si="46"/>
        <v>-588</v>
      </c>
      <c r="M84" s="2"/>
      <c r="N84" s="7">
        <f t="shared" si="47"/>
        <v>-1</v>
      </c>
      <c r="O84" s="11"/>
      <c r="P84" s="6"/>
      <c r="Q84" s="2"/>
      <c r="R84" s="7">
        <f t="shared" si="48"/>
        <v>0</v>
      </c>
      <c r="S84" s="2"/>
      <c r="T84" s="6">
        <v>1176</v>
      </c>
      <c r="U84" s="2"/>
      <c r="V84" s="7">
        <f t="shared" si="49"/>
        <v>4.1666666666666666E-3</v>
      </c>
      <c r="W84" s="2"/>
      <c r="X84" s="6">
        <f t="shared" si="50"/>
        <v>-1176</v>
      </c>
      <c r="Y84" s="2"/>
      <c r="Z84" s="7">
        <f t="shared" si="51"/>
        <v>-1</v>
      </c>
    </row>
    <row r="85" spans="1:26" s="28" customFormat="1" outlineLevel="1" collapsed="1" x14ac:dyDescent="0.3">
      <c r="A85" s="29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SUM(OSRRefD22_15x_0)</f>
        <v>623</v>
      </c>
      <c r="E85" s="1"/>
      <c r="F85" s="5">
        <f t="shared" ref="F85:F87" si="52">IF(D$12=0,0,D85/D$12)</f>
        <v>1.2892565958150151E-3</v>
      </c>
      <c r="G85" s="1"/>
      <c r="H85" s="1">
        <f>SUM(OSRRefH22_15x_0)</f>
        <v>601</v>
      </c>
      <c r="I85" s="1"/>
      <c r="J85" s="5">
        <f t="shared" ref="J85:J87" si="53">IF(H$12=0,0,H85/H$12)</f>
        <v>2.1293934240362812E-3</v>
      </c>
      <c r="K85" s="1"/>
      <c r="L85" s="1">
        <f t="shared" ref="L85:L87" si="54">+D85-H85</f>
        <v>22</v>
      </c>
      <c r="M85" s="1"/>
      <c r="N85" s="5">
        <f t="shared" ref="N85:N87" si="55">IF(H85=0,0,L85/H85)</f>
        <v>3.6605657237936774E-2</v>
      </c>
      <c r="O85" s="14"/>
      <c r="P85" s="1">
        <f>SUM(OSRRefP22_15x_0)</f>
        <v>1122</v>
      </c>
      <c r="Q85" s="1"/>
      <c r="R85" s="5">
        <f t="shared" ref="R85:R87" si="56">IF(P$12=0,0,P85/P$12)</f>
        <v>2.2164645943684095E-3</v>
      </c>
      <c r="S85" s="1"/>
      <c r="T85" s="1">
        <f>SUM(OSRRefT22_15x_0)</f>
        <v>1202</v>
      </c>
      <c r="U85" s="1"/>
      <c r="V85" s="5">
        <f t="shared" ref="V85:V87" si="57">IF(T$12=0,0,T85/T$12)</f>
        <v>4.2587868480725623E-3</v>
      </c>
      <c r="W85" s="1"/>
      <c r="X85" s="1">
        <f t="shared" ref="X85:X87" si="58">+P85-T85</f>
        <v>-80</v>
      </c>
      <c r="Y85" s="1"/>
      <c r="Z85" s="5">
        <f t="shared" ref="Z85:Z87" si="59">IF(T85=0,0,X85/T85)</f>
        <v>-6.6555740432612309E-2</v>
      </c>
    </row>
    <row r="86" spans="1:26" s="24" customFormat="1" hidden="1" outlineLevel="2" x14ac:dyDescent="0.3">
      <c r="A86" s="27"/>
      <c r="B86" s="11" t="str">
        <f>CONCATENATE("          ", "6303", " - ", "DATA PHONE LINES")</f>
        <v xml:space="preserve">          6303 - DATA PHONE LINES</v>
      </c>
      <c r="C86" s="11"/>
      <c r="D86" s="6"/>
      <c r="E86" s="2"/>
      <c r="F86" s="7">
        <f t="shared" si="52"/>
        <v>0</v>
      </c>
      <c r="G86" s="2"/>
      <c r="H86" s="6">
        <v>58</v>
      </c>
      <c r="I86" s="2"/>
      <c r="J86" s="7">
        <f t="shared" si="53"/>
        <v>2.0549886621315194E-4</v>
      </c>
      <c r="K86" s="2"/>
      <c r="L86" s="6">
        <f t="shared" si="54"/>
        <v>-58</v>
      </c>
      <c r="M86" s="2"/>
      <c r="N86" s="7">
        <f t="shared" si="55"/>
        <v>-1</v>
      </c>
      <c r="O86" s="11"/>
      <c r="P86" s="6"/>
      <c r="Q86" s="2"/>
      <c r="R86" s="7">
        <f t="shared" si="56"/>
        <v>0</v>
      </c>
      <c r="S86" s="2"/>
      <c r="T86" s="6">
        <v>116</v>
      </c>
      <c r="U86" s="2"/>
      <c r="V86" s="7">
        <f t="shared" si="57"/>
        <v>4.1099773242630387E-4</v>
      </c>
      <c r="W86" s="2"/>
      <c r="X86" s="6">
        <f t="shared" si="58"/>
        <v>-116</v>
      </c>
      <c r="Y86" s="2"/>
      <c r="Z86" s="7">
        <f t="shared" si="59"/>
        <v>-1</v>
      </c>
    </row>
    <row r="87" spans="1:26" s="24" customFormat="1" hidden="1" outlineLevel="2" x14ac:dyDescent="0.3">
      <c r="A87" s="27"/>
      <c r="B87" s="11" t="str">
        <f>CONCATENATE("          ", "6309", " - ", "TELEPHONE")</f>
        <v xml:space="preserve">          6309 - TELEPHONE</v>
      </c>
      <c r="C87" s="11"/>
      <c r="D87" s="6">
        <v>623</v>
      </c>
      <c r="E87" s="2"/>
      <c r="F87" s="7">
        <f t="shared" si="52"/>
        <v>1.2892565958150151E-3</v>
      </c>
      <c r="G87" s="2"/>
      <c r="H87" s="6">
        <v>543</v>
      </c>
      <c r="I87" s="2"/>
      <c r="J87" s="7">
        <f t="shared" si="53"/>
        <v>1.9238945578231293E-3</v>
      </c>
      <c r="K87" s="2"/>
      <c r="L87" s="6">
        <f t="shared" si="54"/>
        <v>80</v>
      </c>
      <c r="M87" s="2"/>
      <c r="N87" s="7">
        <f t="shared" si="55"/>
        <v>0.14732965009208104</v>
      </c>
      <c r="O87" s="11"/>
      <c r="P87" s="6">
        <v>1122</v>
      </c>
      <c r="Q87" s="2"/>
      <c r="R87" s="7">
        <f t="shared" si="56"/>
        <v>2.2164645943684095E-3</v>
      </c>
      <c r="S87" s="2"/>
      <c r="T87" s="6">
        <v>1086</v>
      </c>
      <c r="U87" s="2"/>
      <c r="V87" s="7">
        <f t="shared" si="57"/>
        <v>3.8477891156462585E-3</v>
      </c>
      <c r="W87" s="2"/>
      <c r="X87" s="6">
        <f t="shared" si="58"/>
        <v>36</v>
      </c>
      <c r="Y87" s="2"/>
      <c r="Z87" s="7">
        <f t="shared" si="59"/>
        <v>3.3149171270718231E-2</v>
      </c>
    </row>
    <row r="88" spans="1:26" s="28" customFormat="1" outlineLevel="1" collapsed="1" x14ac:dyDescent="0.3">
      <c r="A88" s="29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SUM(OSRRefD22_16x_0)</f>
        <v>0</v>
      </c>
      <c r="E88" s="1"/>
      <c r="F88" s="5">
        <f t="shared" ref="F88:F91" si="60">IF(D$12=0,0,D88/D$12)</f>
        <v>0</v>
      </c>
      <c r="G88" s="1"/>
      <c r="H88" s="1">
        <f>SUM(OSRRefH22_16x_0)</f>
        <v>640</v>
      </c>
      <c r="I88" s="1"/>
      <c r="J88" s="5">
        <f t="shared" ref="J88:J91" si="61">IF(H$12=0,0,H88/H$12)</f>
        <v>2.2675736961451248E-3</v>
      </c>
      <c r="K88" s="1"/>
      <c r="L88" s="1">
        <f t="shared" ref="L88:L91" si="62">+D88-H88</f>
        <v>-640</v>
      </c>
      <c r="M88" s="1"/>
      <c r="N88" s="5">
        <f t="shared" ref="N88:N91" si="63">IF(H88=0,0,L88/H88)</f>
        <v>-1</v>
      </c>
      <c r="O88" s="14"/>
      <c r="P88" s="1">
        <f>SUM(OSRRefP22_16x_0)</f>
        <v>0</v>
      </c>
      <c r="Q88" s="1"/>
      <c r="R88" s="5">
        <f t="shared" ref="R88:R91" si="64">IF(P$12=0,0,P88/P$12)</f>
        <v>0</v>
      </c>
      <c r="S88" s="1"/>
      <c r="T88" s="1">
        <f>SUM(OSRRefT22_16x_0)</f>
        <v>1280</v>
      </c>
      <c r="U88" s="1"/>
      <c r="V88" s="5">
        <f t="shared" ref="V88:V91" si="65">IF(T$12=0,0,T88/T$12)</f>
        <v>4.5351473922902496E-3</v>
      </c>
      <c r="W88" s="1"/>
      <c r="X88" s="1">
        <f t="shared" ref="X88:X91" si="66">+P88-T88</f>
        <v>-1280</v>
      </c>
      <c r="Y88" s="1"/>
      <c r="Z88" s="5">
        <f t="shared" ref="Z88:Z91" si="67">IF(T88=0,0,X88/T88)</f>
        <v>-1</v>
      </c>
    </row>
    <row r="89" spans="1:26" s="24" customFormat="1" hidden="1" outlineLevel="2" x14ac:dyDescent="0.3">
      <c r="A89" s="27"/>
      <c r="B89" s="11" t="str">
        <f>CONCATENATE("          ", "6376", " - ", "TRAINING")</f>
        <v xml:space="preserve">          6376 - TRAINING</v>
      </c>
      <c r="C89" s="11"/>
      <c r="D89" s="6"/>
      <c r="E89" s="2"/>
      <c r="F89" s="7">
        <f t="shared" si="60"/>
        <v>0</v>
      </c>
      <c r="G89" s="2"/>
      <c r="H89" s="6">
        <v>640</v>
      </c>
      <c r="I89" s="2"/>
      <c r="J89" s="7">
        <f t="shared" si="61"/>
        <v>2.2675736961451248E-3</v>
      </c>
      <c r="K89" s="2"/>
      <c r="L89" s="6">
        <f t="shared" si="62"/>
        <v>-640</v>
      </c>
      <c r="M89" s="2"/>
      <c r="N89" s="7">
        <f t="shared" si="63"/>
        <v>-1</v>
      </c>
      <c r="O89" s="11"/>
      <c r="P89" s="6"/>
      <c r="Q89" s="2"/>
      <c r="R89" s="7">
        <f t="shared" si="64"/>
        <v>0</v>
      </c>
      <c r="S89" s="2"/>
      <c r="T89" s="6">
        <v>1280</v>
      </c>
      <c r="U89" s="2"/>
      <c r="V89" s="7">
        <f t="shared" si="65"/>
        <v>4.5351473922902496E-3</v>
      </c>
      <c r="W89" s="2"/>
      <c r="X89" s="6">
        <f t="shared" si="66"/>
        <v>-1280</v>
      </c>
      <c r="Y89" s="2"/>
      <c r="Z89" s="7">
        <f t="shared" si="67"/>
        <v>-1</v>
      </c>
    </row>
    <row r="90" spans="1:26" s="28" customFormat="1" outlineLevel="1" collapsed="1" x14ac:dyDescent="0.3">
      <c r="A90" s="29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SUM(OSRRefD22_17x_0)</f>
        <v>595</v>
      </c>
      <c r="E90" s="1"/>
      <c r="F90" s="5">
        <f t="shared" si="60"/>
        <v>1.2313124791491718E-3</v>
      </c>
      <c r="G90" s="1"/>
      <c r="H90" s="1">
        <f>SUM(OSRRefH22_17x_0)</f>
        <v>0</v>
      </c>
      <c r="I90" s="1"/>
      <c r="J90" s="5">
        <f t="shared" si="61"/>
        <v>0</v>
      </c>
      <c r="K90" s="1"/>
      <c r="L90" s="1">
        <f t="shared" si="62"/>
        <v>595</v>
      </c>
      <c r="M90" s="1"/>
      <c r="N90" s="5">
        <f t="shared" si="63"/>
        <v>0</v>
      </c>
      <c r="O90" s="14"/>
      <c r="P90" s="1">
        <f>SUM(OSRRefP22_17x_0)</f>
        <v>595</v>
      </c>
      <c r="Q90" s="1"/>
      <c r="R90" s="5">
        <f t="shared" si="64"/>
        <v>1.1753978909529446E-3</v>
      </c>
      <c r="S90" s="1"/>
      <c r="T90" s="1">
        <f>SUM(OSRRefT22_17x_0)</f>
        <v>0</v>
      </c>
      <c r="U90" s="1"/>
      <c r="V90" s="5">
        <f t="shared" si="65"/>
        <v>0</v>
      </c>
      <c r="W90" s="1"/>
      <c r="X90" s="1">
        <f t="shared" si="66"/>
        <v>595</v>
      </c>
      <c r="Y90" s="1"/>
      <c r="Z90" s="5">
        <f t="shared" si="67"/>
        <v>0</v>
      </c>
    </row>
    <row r="91" spans="1:26" s="24" customFormat="1" hidden="1" outlineLevel="2" x14ac:dyDescent="0.3">
      <c r="A91" s="27"/>
      <c r="B91" s="11" t="str">
        <f>CONCATENATE("          ", "6292", " - ", "TRAVEL/CONFERENCE")</f>
        <v xml:space="preserve">          6292 - TRAVEL/CONFERENCE</v>
      </c>
      <c r="C91" s="11"/>
      <c r="D91" s="6">
        <v>595</v>
      </c>
      <c r="E91" s="2"/>
      <c r="F91" s="7">
        <f t="shared" si="60"/>
        <v>1.2313124791491718E-3</v>
      </c>
      <c r="G91" s="2"/>
      <c r="H91" s="6"/>
      <c r="I91" s="2"/>
      <c r="J91" s="7">
        <f t="shared" si="61"/>
        <v>0</v>
      </c>
      <c r="K91" s="2"/>
      <c r="L91" s="6">
        <f t="shared" si="62"/>
        <v>595</v>
      </c>
      <c r="M91" s="2"/>
      <c r="N91" s="7">
        <f t="shared" si="63"/>
        <v>0</v>
      </c>
      <c r="O91" s="11"/>
      <c r="P91" s="6">
        <v>595</v>
      </c>
      <c r="Q91" s="2"/>
      <c r="R91" s="7">
        <f t="shared" si="64"/>
        <v>1.1753978909529446E-3</v>
      </c>
      <c r="S91" s="2"/>
      <c r="T91" s="6"/>
      <c r="U91" s="2"/>
      <c r="V91" s="7">
        <f t="shared" si="65"/>
        <v>0</v>
      </c>
      <c r="W91" s="2"/>
      <c r="X91" s="6">
        <f t="shared" si="66"/>
        <v>595</v>
      </c>
      <c r="Y91" s="2"/>
      <c r="Z91" s="7">
        <f t="shared" si="67"/>
        <v>0</v>
      </c>
    </row>
    <row r="92" spans="1:26" s="53" customFormat="1" x14ac:dyDescent="0.3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3">
      <c r="A93" s="10"/>
      <c r="B93" s="25" t="s">
        <v>293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3">
      <c r="A95" s="10"/>
      <c r="B95" s="26" t="s">
        <v>277</v>
      </c>
      <c r="C95" s="26"/>
      <c r="D95" s="21">
        <f>+D23-D25+D93</f>
        <v>-5668.820000000007</v>
      </c>
      <c r="E95" s="13"/>
      <c r="F95" s="20">
        <f>IF(D$12=0,0,D95/D$12)</f>
        <v>-1.1731241694202379E-2</v>
      </c>
      <c r="G95" s="13"/>
      <c r="H95" s="21">
        <f>+H23-H25+H93</f>
        <v>-274709.86582506599</v>
      </c>
      <c r="I95" s="13"/>
      <c r="J95" s="20">
        <f>IF(H$12=0,0,H95/H$12)</f>
        <v>-0.97332010283824399</v>
      </c>
      <c r="K95" s="16"/>
      <c r="L95" s="21">
        <f>+D95-H95</f>
        <v>269041.04582506599</v>
      </c>
      <c r="M95" s="16"/>
      <c r="N95" s="20">
        <f>IF(H95=0,0,L95/H95)</f>
        <v>-0.97936433777878995</v>
      </c>
      <c r="O95" s="25"/>
      <c r="P95" s="21">
        <f>+P23-P25+P93</f>
        <v>-194440.19999999995</v>
      </c>
      <c r="Q95" s="13"/>
      <c r="R95" s="20">
        <f>IF(P$12=0,0,P95/P$12)</f>
        <v>-0.3841085731033087</v>
      </c>
      <c r="S95" s="13"/>
      <c r="T95" s="21">
        <f>+T23-T25+T93</f>
        <v>-616877.69723139901</v>
      </c>
      <c r="U95" s="13"/>
      <c r="V95" s="20">
        <f>IF(T$12=0,0,T95/T$12)</f>
        <v>-2.1856494374695261</v>
      </c>
      <c r="W95" s="16"/>
      <c r="X95" s="21">
        <f>+P95-T95</f>
        <v>422437.49723139906</v>
      </c>
      <c r="Y95" s="16"/>
      <c r="Z95" s="20">
        <f>IF(T95=0,0,X95/T95)</f>
        <v>-0.68479943289785872</v>
      </c>
    </row>
    <row r="96" spans="1:26" x14ac:dyDescent="0.3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3">
      <c r="A97" s="52"/>
      <c r="B97" s="10" t="s">
        <v>128</v>
      </c>
      <c r="C97" s="10"/>
      <c r="D97" s="4">
        <v>65024.65</v>
      </c>
      <c r="E97" s="4"/>
      <c r="F97" s="12">
        <f>IF(D$12=0,0,D97/D$12)</f>
        <v>0.13456413949127258</v>
      </c>
      <c r="G97" s="4"/>
      <c r="H97" s="4">
        <v>31609</v>
      </c>
      <c r="I97" s="4"/>
      <c r="J97" s="12">
        <f>IF(H$12=0,0,H97/H$12)</f>
        <v>0.11199333900226757</v>
      </c>
      <c r="K97" s="4"/>
      <c r="L97" s="4">
        <f>+D97-H97</f>
        <v>33415.65</v>
      </c>
      <c r="M97" s="4"/>
      <c r="N97" s="12">
        <f>IF(H97=0,0,L97/H97)</f>
        <v>1.057156189692809</v>
      </c>
      <c r="O97" s="10"/>
      <c r="P97" s="4">
        <v>75644.72</v>
      </c>
      <c r="Q97" s="4"/>
      <c r="R97" s="12">
        <f>IF(P$12=0,0,P97/P$12)</f>
        <v>0.14943301571382525</v>
      </c>
      <c r="S97" s="4"/>
      <c r="T97" s="4">
        <v>31609</v>
      </c>
      <c r="U97" s="4"/>
      <c r="V97" s="12">
        <f>IF(T$12=0,0,T97/T$12)</f>
        <v>0.11199333900226757</v>
      </c>
      <c r="W97" s="4"/>
      <c r="X97" s="4">
        <f>+P97-T97</f>
        <v>44035.72</v>
      </c>
      <c r="Y97" s="4"/>
      <c r="Z97" s="12">
        <f>IF(T97=0,0,X97/T97)</f>
        <v>1.3931386630390079</v>
      </c>
    </row>
    <row r="98" spans="1:26" x14ac:dyDescent="0.3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6" t="s">
        <v>126</v>
      </c>
      <c r="C99" s="26"/>
      <c r="D99" s="30">
        <f>+D95-D97</f>
        <v>-70693.47</v>
      </c>
      <c r="E99" s="13"/>
      <c r="F99" s="35">
        <f>IF(D$12=0,0,D99/D$12)</f>
        <v>-0.14629538118547494</v>
      </c>
      <c r="G99" s="13"/>
      <c r="H99" s="30">
        <f>+H95-H97</f>
        <v>-306318.86582506599</v>
      </c>
      <c r="I99" s="13"/>
      <c r="J99" s="35">
        <f>IF(H$12=0,0,H99/H$12)</f>
        <v>-1.0853134418405117</v>
      </c>
      <c r="K99" s="16"/>
      <c r="L99" s="30">
        <f>D99-H99</f>
        <v>235625.39582506599</v>
      </c>
      <c r="M99" s="16"/>
      <c r="N99" s="35">
        <f>IF(H99=0,0,L99/H99)</f>
        <v>-0.76921607551141835</v>
      </c>
      <c r="O99" s="25"/>
      <c r="P99" s="30">
        <f>+P95-P97</f>
        <v>-270084.91999999993</v>
      </c>
      <c r="Q99" s="13"/>
      <c r="R99" s="35">
        <f>IF(P$12=0,0,P99/P$12)</f>
        <v>-0.53354158881713387</v>
      </c>
      <c r="S99" s="13"/>
      <c r="T99" s="30">
        <f>+T95-T97</f>
        <v>-648486.69723139901</v>
      </c>
      <c r="U99" s="13"/>
      <c r="V99" s="35">
        <f>IF(T$12=0,0,T99/T$12)</f>
        <v>-2.2976427764717937</v>
      </c>
      <c r="W99" s="16"/>
      <c r="X99" s="30">
        <f>P99-T99</f>
        <v>378401.77723139909</v>
      </c>
      <c r="Y99" s="16"/>
      <c r="Z99" s="35">
        <f>IF(T99=0,0,X99/T99)</f>
        <v>-0.58351509575588756</v>
      </c>
    </row>
    <row r="100" spans="1:26" ht="15" thickTop="1" x14ac:dyDescent="0.3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3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" thickBot="1" x14ac:dyDescent="0.35">
      <c r="A102" s="10"/>
      <c r="B102" s="26" t="s">
        <v>294</v>
      </c>
      <c r="C102" s="26"/>
      <c r="D102" s="32">
        <f>SUM(D99:D101)</f>
        <v>-70693.47</v>
      </c>
      <c r="E102" s="13"/>
      <c r="F102" s="34">
        <f>IF(D$12=0,0,D102/D$12)</f>
        <v>-0.14629538118547494</v>
      </c>
      <c r="G102" s="13"/>
      <c r="H102" s="32">
        <f>SUM(H99:H101)</f>
        <v>-306318.86582506599</v>
      </c>
      <c r="I102" s="13"/>
      <c r="J102" s="34">
        <f>IF(H$12=0,0,H102/H$12)</f>
        <v>-1.0853134418405117</v>
      </c>
      <c r="K102" s="16"/>
      <c r="L102" s="32">
        <f>+D102-H102</f>
        <v>235625.39582506599</v>
      </c>
      <c r="M102" s="16"/>
      <c r="N102" s="34">
        <f>IF(H102=0,0,L102/H102)</f>
        <v>-0.76921607551141835</v>
      </c>
      <c r="O102" s="25"/>
      <c r="P102" s="32">
        <f>SUM(P99:P101)</f>
        <v>-270084.91999999993</v>
      </c>
      <c r="Q102" s="13"/>
      <c r="R102" s="34">
        <f>IF(P$12=0,0,P102/P$12)</f>
        <v>-0.53354158881713387</v>
      </c>
      <c r="S102" s="13"/>
      <c r="T102" s="32">
        <f>SUM(T99:T101)</f>
        <v>-648486.69723139901</v>
      </c>
      <c r="U102" s="13"/>
      <c r="V102" s="34">
        <f>IF(T$12=0,0,T102/T$12)</f>
        <v>-2.2976427764717937</v>
      </c>
      <c r="W102" s="16"/>
      <c r="X102" s="32">
        <f>+P102-T102</f>
        <v>378401.77723139909</v>
      </c>
      <c r="Y102" s="16"/>
      <c r="Z102" s="34">
        <f>IF(T102=0,0,X102/T102)</f>
        <v>-0.58351509575588756</v>
      </c>
    </row>
    <row r="103" spans="1:26" ht="15" thickTop="1" x14ac:dyDescent="0.3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3">
      <c r="A104" s="9"/>
      <c r="B104" s="61">
        <v>44470.835442939817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3">
      <c r="A105" s="9"/>
      <c r="B105" s="58" t="s">
        <v>56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3">
      <c r="A106" s="9"/>
      <c r="B106" s="55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3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","430", " - ", "Res Hall Management")</f>
        <v>Department 430 - Res Hall Management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2">
        <f>SUM(OSRRefD22x_0)</f>
        <v>18878.86</v>
      </c>
      <c r="E18" s="22"/>
      <c r="F18" s="31">
        <f t="shared" ref="F18:F28" si="0">IF(D$12=0,0,D18/D$12)</f>
        <v>0</v>
      </c>
      <c r="G18" s="22"/>
      <c r="H18" s="22">
        <f>SUM(OSRRefH22x_0)</f>
        <v>17174.263740000002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1704.5962599999984</v>
      </c>
      <c r="M18" s="4"/>
      <c r="N18" s="31">
        <f t="shared" ref="N18:N28" si="3">IF(H18=0,0,L18/H18)</f>
        <v>9.9252945325969372E-2</v>
      </c>
      <c r="O18" s="10"/>
      <c r="P18" s="22">
        <f>SUM(OSRRefP22x_0)</f>
        <v>39554.46</v>
      </c>
      <c r="Q18" s="22"/>
      <c r="R18" s="31">
        <f t="shared" ref="R18:R28" si="4">IF(P$12=0,0,P18/P$12)</f>
        <v>0</v>
      </c>
      <c r="S18" s="22"/>
      <c r="T18" s="22">
        <f>SUM(OSRRefT22x_0)</f>
        <v>37041.593414999996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2512.8665850000034</v>
      </c>
      <c r="Y18" s="4"/>
      <c r="Z18" s="31">
        <f t="shared" ref="Z18:Z28" si="7">IF(T18=0,0,X18/T18)</f>
        <v>6.7839052085227461E-2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5704.79</v>
      </c>
      <c r="E19" s="1"/>
      <c r="F19" s="5">
        <f t="shared" si="0"/>
        <v>0</v>
      </c>
      <c r="G19" s="1"/>
      <c r="H19" s="1">
        <f>SUM(OSRRefH22_0x_0)</f>
        <v>4239.16374</v>
      </c>
      <c r="I19" s="1"/>
      <c r="J19" s="5">
        <f t="shared" si="1"/>
        <v>0</v>
      </c>
      <c r="K19" s="1"/>
      <c r="L19" s="1">
        <f t="shared" si="2"/>
        <v>1465.62626</v>
      </c>
      <c r="M19" s="1"/>
      <c r="N19" s="5">
        <f t="shared" si="3"/>
        <v>0.34573476041291107</v>
      </c>
      <c r="O19" s="14"/>
      <c r="P19" s="1">
        <f>SUM(OSRRefP22_0x_0)</f>
        <v>11452.85</v>
      </c>
      <c r="Q19" s="1"/>
      <c r="R19" s="5">
        <f t="shared" si="4"/>
        <v>0</v>
      </c>
      <c r="S19" s="1"/>
      <c r="T19" s="1">
        <f>SUM(OSRRefT22_0x_0)</f>
        <v>9043.8684150000008</v>
      </c>
      <c r="U19" s="1"/>
      <c r="V19" s="5">
        <f t="shared" si="5"/>
        <v>0</v>
      </c>
      <c r="W19" s="1"/>
      <c r="X19" s="1">
        <f t="shared" si="6"/>
        <v>2408.9815849999995</v>
      </c>
      <c r="Y19" s="1"/>
      <c r="Z19" s="5">
        <f t="shared" si="7"/>
        <v>0.26636627983269917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691.15</v>
      </c>
      <c r="E20" s="2"/>
      <c r="F20" s="7">
        <f t="shared" si="0"/>
        <v>0</v>
      </c>
      <c r="G20" s="2"/>
      <c r="H20" s="6">
        <v>685.55574000000001</v>
      </c>
      <c r="I20" s="2"/>
      <c r="J20" s="7">
        <f t="shared" si="1"/>
        <v>0</v>
      </c>
      <c r="K20" s="2"/>
      <c r="L20" s="6">
        <f t="shared" si="2"/>
        <v>5.5942599999999629</v>
      </c>
      <c r="M20" s="2"/>
      <c r="N20" s="7">
        <f t="shared" si="3"/>
        <v>8.16018256954564E-3</v>
      </c>
      <c r="O20" s="11"/>
      <c r="P20" s="6">
        <v>1376.57</v>
      </c>
      <c r="Q20" s="2"/>
      <c r="R20" s="7">
        <f t="shared" si="4"/>
        <v>0</v>
      </c>
      <c r="S20" s="2"/>
      <c r="T20" s="6">
        <v>1542.500415</v>
      </c>
      <c r="U20" s="2"/>
      <c r="V20" s="7">
        <f t="shared" si="5"/>
        <v>0</v>
      </c>
      <c r="W20" s="2"/>
      <c r="X20" s="6">
        <f t="shared" si="6"/>
        <v>-165.93041500000004</v>
      </c>
      <c r="Y20" s="2"/>
      <c r="Z20" s="7">
        <f t="shared" si="7"/>
        <v>-0.10757236327874832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325.24</v>
      </c>
      <c r="E21" s="2"/>
      <c r="F21" s="7">
        <f t="shared" si="0"/>
        <v>0</v>
      </c>
      <c r="G21" s="2"/>
      <c r="H21" s="6">
        <v>339.50819999999999</v>
      </c>
      <c r="I21" s="2"/>
      <c r="J21" s="7">
        <f t="shared" si="1"/>
        <v>0</v>
      </c>
      <c r="K21" s="2"/>
      <c r="L21" s="6">
        <f t="shared" si="2"/>
        <v>-14.268199999999979</v>
      </c>
      <c r="M21" s="2"/>
      <c r="N21" s="7">
        <f t="shared" si="3"/>
        <v>-4.2026083611529791E-2</v>
      </c>
      <c r="O21" s="11"/>
      <c r="P21" s="6">
        <v>647.78</v>
      </c>
      <c r="Q21" s="2"/>
      <c r="R21" s="7">
        <f t="shared" si="4"/>
        <v>0</v>
      </c>
      <c r="S21" s="2"/>
      <c r="T21" s="6">
        <v>763.89345000000003</v>
      </c>
      <c r="U21" s="2"/>
      <c r="V21" s="7">
        <f t="shared" si="5"/>
        <v>0</v>
      </c>
      <c r="W21" s="2"/>
      <c r="X21" s="6">
        <f t="shared" si="6"/>
        <v>-116.11345000000006</v>
      </c>
      <c r="Y21" s="2"/>
      <c r="Z21" s="7">
        <f t="shared" si="7"/>
        <v>-0.15200215422713736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2687.98</v>
      </c>
      <c r="E22" s="2"/>
      <c r="F22" s="7">
        <f t="shared" si="0"/>
        <v>0</v>
      </c>
      <c r="G22" s="2"/>
      <c r="H22" s="6">
        <v>1977</v>
      </c>
      <c r="I22" s="2"/>
      <c r="J22" s="7">
        <f t="shared" si="1"/>
        <v>0</v>
      </c>
      <c r="K22" s="2"/>
      <c r="L22" s="6">
        <f t="shared" si="2"/>
        <v>710.98</v>
      </c>
      <c r="M22" s="2"/>
      <c r="N22" s="7">
        <f t="shared" si="3"/>
        <v>0.35962569549822965</v>
      </c>
      <c r="O22" s="11"/>
      <c r="P22" s="6">
        <v>5375.96</v>
      </c>
      <c r="Q22" s="2"/>
      <c r="R22" s="7">
        <f t="shared" si="4"/>
        <v>0</v>
      </c>
      <c r="S22" s="2"/>
      <c r="T22" s="6">
        <v>3954</v>
      </c>
      <c r="U22" s="2"/>
      <c r="V22" s="7">
        <f t="shared" si="5"/>
        <v>0</v>
      </c>
      <c r="W22" s="2"/>
      <c r="X22" s="6">
        <f t="shared" si="6"/>
        <v>1421.96</v>
      </c>
      <c r="Y22" s="2"/>
      <c r="Z22" s="7">
        <f t="shared" si="7"/>
        <v>0.35962569549822965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23.49</v>
      </c>
      <c r="E23" s="2"/>
      <c r="F23" s="7">
        <f t="shared" si="0"/>
        <v>0</v>
      </c>
      <c r="G23" s="2"/>
      <c r="H23" s="6">
        <v>18.811800000000002</v>
      </c>
      <c r="I23" s="2"/>
      <c r="J23" s="7">
        <f t="shared" si="1"/>
        <v>0</v>
      </c>
      <c r="K23" s="2"/>
      <c r="L23" s="6">
        <f t="shared" si="2"/>
        <v>4.6781999999999968</v>
      </c>
      <c r="M23" s="2"/>
      <c r="N23" s="7">
        <f t="shared" si="3"/>
        <v>0.24868433642713597</v>
      </c>
      <c r="O23" s="11"/>
      <c r="P23" s="6">
        <v>46.78</v>
      </c>
      <c r="Q23" s="2"/>
      <c r="R23" s="7">
        <f t="shared" si="4"/>
        <v>0</v>
      </c>
      <c r="S23" s="2"/>
      <c r="T23" s="6">
        <v>42.326549999999997</v>
      </c>
      <c r="U23" s="2"/>
      <c r="V23" s="7">
        <f t="shared" si="5"/>
        <v>0</v>
      </c>
      <c r="W23" s="2"/>
      <c r="X23" s="6">
        <f t="shared" si="6"/>
        <v>4.4534500000000037</v>
      </c>
      <c r="Y23" s="2"/>
      <c r="Z23" s="7">
        <f t="shared" si="7"/>
        <v>0.10521646578802203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680.03</v>
      </c>
      <c r="E24" s="2"/>
      <c r="F24" s="7">
        <f t="shared" si="0"/>
        <v>0</v>
      </c>
      <c r="G24" s="2"/>
      <c r="H24" s="6">
        <v>770.38800000000003</v>
      </c>
      <c r="I24" s="2"/>
      <c r="J24" s="7">
        <f t="shared" si="1"/>
        <v>0</v>
      </c>
      <c r="K24" s="2"/>
      <c r="L24" s="6">
        <f t="shared" si="2"/>
        <v>-90.358000000000061</v>
      </c>
      <c r="M24" s="2"/>
      <c r="N24" s="7">
        <f t="shared" si="3"/>
        <v>-0.11728895050286356</v>
      </c>
      <c r="O24" s="11"/>
      <c r="P24" s="6">
        <v>1360.06</v>
      </c>
      <c r="Q24" s="2"/>
      <c r="R24" s="7">
        <f t="shared" si="4"/>
        <v>0</v>
      </c>
      <c r="S24" s="2"/>
      <c r="T24" s="6">
        <v>1733.373</v>
      </c>
      <c r="U24" s="2"/>
      <c r="V24" s="7">
        <f t="shared" si="5"/>
        <v>0</v>
      </c>
      <c r="W24" s="2"/>
      <c r="X24" s="6">
        <f t="shared" si="6"/>
        <v>-373.3130000000001</v>
      </c>
      <c r="Y24" s="2"/>
      <c r="Z24" s="7">
        <f t="shared" si="7"/>
        <v>-0.21536795600254538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827.64</v>
      </c>
      <c r="E26" s="2"/>
      <c r="F26" s="7">
        <f t="shared" si="0"/>
        <v>0</v>
      </c>
      <c r="G26" s="2"/>
      <c r="H26" s="6">
        <v>268.74</v>
      </c>
      <c r="I26" s="2"/>
      <c r="J26" s="7">
        <f t="shared" si="1"/>
        <v>0</v>
      </c>
      <c r="K26" s="2"/>
      <c r="L26" s="6">
        <f t="shared" si="2"/>
        <v>558.9</v>
      </c>
      <c r="M26" s="2"/>
      <c r="N26" s="7">
        <f t="shared" si="3"/>
        <v>2.0797052913596783</v>
      </c>
      <c r="O26" s="11"/>
      <c r="P26" s="6">
        <v>1655.28</v>
      </c>
      <c r="Q26" s="2"/>
      <c r="R26" s="7">
        <f t="shared" si="4"/>
        <v>0</v>
      </c>
      <c r="S26" s="2"/>
      <c r="T26" s="6">
        <v>604.66499999999996</v>
      </c>
      <c r="U26" s="2"/>
      <c r="V26" s="7">
        <f t="shared" si="5"/>
        <v>0</v>
      </c>
      <c r="W26" s="2"/>
      <c r="X26" s="6">
        <f t="shared" si="6"/>
        <v>1050.615</v>
      </c>
      <c r="Y26" s="2"/>
      <c r="Z26" s="7">
        <f t="shared" si="7"/>
        <v>1.7375158145419365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413.26</v>
      </c>
      <c r="E27" s="2"/>
      <c r="F27" s="7">
        <f t="shared" si="0"/>
        <v>0</v>
      </c>
      <c r="G27" s="2"/>
      <c r="H27" s="6">
        <v>179.16</v>
      </c>
      <c r="I27" s="2"/>
      <c r="J27" s="7">
        <f t="shared" si="1"/>
        <v>0</v>
      </c>
      <c r="K27" s="2"/>
      <c r="L27" s="6">
        <f t="shared" si="2"/>
        <v>234.1</v>
      </c>
      <c r="M27" s="2"/>
      <c r="N27" s="7">
        <f t="shared" si="3"/>
        <v>1.3066532708193792</v>
      </c>
      <c r="O27" s="11"/>
      <c r="P27" s="6">
        <v>826.52</v>
      </c>
      <c r="Q27" s="2"/>
      <c r="R27" s="7">
        <f t="shared" si="4"/>
        <v>0</v>
      </c>
      <c r="S27" s="2"/>
      <c r="T27" s="6">
        <v>403.11</v>
      </c>
      <c r="U27" s="2"/>
      <c r="V27" s="7">
        <f t="shared" si="5"/>
        <v>0</v>
      </c>
      <c r="W27" s="2"/>
      <c r="X27" s="6">
        <f t="shared" si="6"/>
        <v>423.40999999999997</v>
      </c>
      <c r="Y27" s="2"/>
      <c r="Z27" s="7">
        <f t="shared" si="7"/>
        <v>1.0503584629505593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56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56</v>
      </c>
      <c r="M28" s="2"/>
      <c r="N28" s="7">
        <f t="shared" si="3"/>
        <v>0</v>
      </c>
      <c r="O28" s="11"/>
      <c r="P28" s="6">
        <v>163.9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163.9</v>
      </c>
      <c r="Y28" s="2"/>
      <c r="Z28" s="7">
        <f t="shared" si="7"/>
        <v>0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8959.5400000000009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449.44000000000051</v>
      </c>
      <c r="M29" s="1"/>
      <c r="N29" s="5">
        <f t="shared" ref="N29:N39" si="11">IF(H29=0,0,L29/H29)</f>
        <v>5.2812540393179924E-2</v>
      </c>
      <c r="O29" s="14"/>
      <c r="P29" s="1">
        <f>SUM(OSRRefP22_1x_0)</f>
        <v>20159.080000000002</v>
      </c>
      <c r="Q29" s="1"/>
      <c r="R29" s="5">
        <f t="shared" ref="R29:R39" si="12">IF(P$12=0,0,P29/P$12)</f>
        <v>0</v>
      </c>
      <c r="S29" s="1"/>
      <c r="T29" s="1">
        <f>SUM(OSRRefT22_1x_0)</f>
        <v>19147.724999999999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1011.3550000000032</v>
      </c>
      <c r="Y29" s="1"/>
      <c r="Z29" s="5">
        <f t="shared" ref="Z29:Z39" si="15">IF(T29=0,0,X29/T29)</f>
        <v>5.2818546328611014E-2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8959.5400000000009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8959.5400000000009</v>
      </c>
      <c r="M30" s="2"/>
      <c r="N30" s="7">
        <f t="shared" si="11"/>
        <v>0</v>
      </c>
      <c r="O30" s="11"/>
      <c r="P30" s="6">
        <v>20159.080000000002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20159.080000000002</v>
      </c>
      <c r="Y30" s="2"/>
      <c r="Z30" s="7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8510.1</v>
      </c>
      <c r="I31" s="2"/>
      <c r="J31" s="7">
        <f t="shared" si="9"/>
        <v>0</v>
      </c>
      <c r="K31" s="2"/>
      <c r="L31" s="6">
        <f t="shared" si="10"/>
        <v>-8510.1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19147.724999999999</v>
      </c>
      <c r="U31" s="2"/>
      <c r="V31" s="7">
        <f t="shared" si="13"/>
        <v>0</v>
      </c>
      <c r="W31" s="2"/>
      <c r="X31" s="6">
        <f t="shared" si="14"/>
        <v>-19147.724999999999</v>
      </c>
      <c r="Y31" s="2"/>
      <c r="Z31" s="7">
        <f t="shared" si="15"/>
        <v>-1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3">
      <c r="A40" s="29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200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-200</v>
      </c>
      <c r="M40" s="1"/>
      <c r="N40" s="5">
        <f t="shared" ref="N40:N46" si="19">IF(H40=0,0,L40/H40)</f>
        <v>-1</v>
      </c>
      <c r="O40" s="14"/>
      <c r="P40" s="1">
        <f>SUM(OSRRefP22_2x_0)</f>
        <v>170</v>
      </c>
      <c r="Q40" s="1"/>
      <c r="R40" s="5">
        <f t="shared" ref="R40:R46" si="20">IF(P$12=0,0,P40/P$12)</f>
        <v>0</v>
      </c>
      <c r="S40" s="1"/>
      <c r="T40" s="1">
        <f>SUM(OSRRefT22_2x_0)</f>
        <v>400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-230</v>
      </c>
      <c r="Y40" s="1"/>
      <c r="Z40" s="5">
        <f t="shared" ref="Z40:Z46" si="23">IF(T40=0,0,X40/T40)</f>
        <v>-0.57499999999999996</v>
      </c>
    </row>
    <row r="41" spans="1:26" s="24" customFormat="1" hidden="1" outlineLevel="2" x14ac:dyDescent="0.3">
      <c r="A41" s="27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>
        <v>200</v>
      </c>
      <c r="I41" s="2"/>
      <c r="J41" s="7">
        <f t="shared" si="17"/>
        <v>0</v>
      </c>
      <c r="K41" s="2"/>
      <c r="L41" s="6">
        <f t="shared" si="18"/>
        <v>-200</v>
      </c>
      <c r="M41" s="2"/>
      <c r="N41" s="7">
        <f t="shared" si="19"/>
        <v>-1</v>
      </c>
      <c r="O41" s="11"/>
      <c r="P41" s="6">
        <v>170</v>
      </c>
      <c r="Q41" s="2"/>
      <c r="R41" s="7">
        <f t="shared" si="20"/>
        <v>0</v>
      </c>
      <c r="S41" s="2"/>
      <c r="T41" s="6">
        <v>400</v>
      </c>
      <c r="U41" s="2"/>
      <c r="V41" s="7">
        <f t="shared" si="21"/>
        <v>0</v>
      </c>
      <c r="W41" s="2"/>
      <c r="X41" s="6">
        <f t="shared" si="22"/>
        <v>-230</v>
      </c>
      <c r="Y41" s="2"/>
      <c r="Z41" s="7">
        <f t="shared" si="23"/>
        <v>-0.57499999999999996</v>
      </c>
    </row>
    <row r="42" spans="1:26" s="28" customFormat="1" outlineLevel="1" collapsed="1" x14ac:dyDescent="0.3">
      <c r="A42" s="29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SUM(OSRRefD22_3x_0)</f>
        <v>3500</v>
      </c>
      <c r="E42" s="1"/>
      <c r="F42" s="5">
        <f t="shared" si="16"/>
        <v>0</v>
      </c>
      <c r="G42" s="1"/>
      <c r="H42" s="1">
        <f>SUM(OSRRefH22_3x_0)</f>
        <v>3500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SUM(OSRRefP22_3x_0)</f>
        <v>7000</v>
      </c>
      <c r="Q42" s="1"/>
      <c r="R42" s="5">
        <f t="shared" si="20"/>
        <v>0</v>
      </c>
      <c r="S42" s="1"/>
      <c r="T42" s="1">
        <f>SUM(OSRRefT22_3x_0)</f>
        <v>7000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4" customFormat="1" hidden="1" outlineLevel="2" x14ac:dyDescent="0.3">
      <c r="A43" s="27"/>
      <c r="B43" s="11" t="str">
        <f>CONCATENATE("          ", "6371", " - ", "COMPUTER SOFTWARE MAINTENANCE")</f>
        <v xml:space="preserve">          6371 - COMPUTER SOFTWARE MAINTENANCE</v>
      </c>
      <c r="C43" s="11"/>
      <c r="D43" s="6">
        <v>3500</v>
      </c>
      <c r="E43" s="2"/>
      <c r="F43" s="7">
        <f t="shared" si="16"/>
        <v>0</v>
      </c>
      <c r="G43" s="2"/>
      <c r="H43" s="6">
        <v>3500</v>
      </c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>
        <v>7000</v>
      </c>
      <c r="Q43" s="2"/>
      <c r="R43" s="7">
        <f t="shared" si="20"/>
        <v>0</v>
      </c>
      <c r="S43" s="2"/>
      <c r="T43" s="6">
        <v>7000</v>
      </c>
      <c r="U43" s="2"/>
      <c r="V43" s="7">
        <f t="shared" si="21"/>
        <v>0</v>
      </c>
      <c r="W43" s="2"/>
      <c r="X43" s="6">
        <f t="shared" si="22"/>
        <v>0</v>
      </c>
      <c r="Y43" s="2"/>
      <c r="Z43" s="7">
        <f t="shared" si="23"/>
        <v>0</v>
      </c>
    </row>
    <row r="44" spans="1:26" s="28" customFormat="1" outlineLevel="1" collapsed="1" x14ac:dyDescent="0.3">
      <c r="A44" s="29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44.53</v>
      </c>
      <c r="E44" s="1"/>
      <c r="F44" s="5">
        <f t="shared" si="16"/>
        <v>0</v>
      </c>
      <c r="G44" s="1"/>
      <c r="H44" s="1">
        <f>SUM(OSRRefH22_4x_0)</f>
        <v>342</v>
      </c>
      <c r="I44" s="1"/>
      <c r="J44" s="5">
        <f t="shared" si="17"/>
        <v>0</v>
      </c>
      <c r="K44" s="1"/>
      <c r="L44" s="1">
        <f t="shared" si="18"/>
        <v>-297.47000000000003</v>
      </c>
      <c r="M44" s="1"/>
      <c r="N44" s="5">
        <f t="shared" si="19"/>
        <v>-0.86979532163742701</v>
      </c>
      <c r="O44" s="14"/>
      <c r="P44" s="1">
        <f>SUM(OSRRefP22_4x_0)</f>
        <v>44.53</v>
      </c>
      <c r="Q44" s="1"/>
      <c r="R44" s="5">
        <f t="shared" si="20"/>
        <v>0</v>
      </c>
      <c r="S44" s="1"/>
      <c r="T44" s="1">
        <f>SUM(OSRRefT22_4x_0)</f>
        <v>684</v>
      </c>
      <c r="U44" s="1"/>
      <c r="V44" s="5">
        <f t="shared" si="21"/>
        <v>0</v>
      </c>
      <c r="W44" s="1"/>
      <c r="X44" s="1">
        <f t="shared" si="22"/>
        <v>-639.47</v>
      </c>
      <c r="Y44" s="1"/>
      <c r="Z44" s="5">
        <f t="shared" si="23"/>
        <v>-0.93489766081871351</v>
      </c>
    </row>
    <row r="45" spans="1:26" s="24" customFormat="1" hidden="1" outlineLevel="2" x14ac:dyDescent="0.3">
      <c r="A45" s="27"/>
      <c r="B45" s="11" t="str">
        <f>CONCATENATE("          ", "6234", " - ", "EXPENDABLE SUPPLIES &amp; EQUIPMEN")</f>
        <v xml:space="preserve">          6234 - EXPENDABLE SUPPLIES &amp; EQUIPMEN</v>
      </c>
      <c r="C45" s="11"/>
      <c r="D45" s="6"/>
      <c r="E45" s="2"/>
      <c r="F45" s="7">
        <f t="shared" si="16"/>
        <v>0</v>
      </c>
      <c r="G45" s="2"/>
      <c r="H45" s="6">
        <v>342</v>
      </c>
      <c r="I45" s="2"/>
      <c r="J45" s="7">
        <f t="shared" si="17"/>
        <v>0</v>
      </c>
      <c r="K45" s="2"/>
      <c r="L45" s="6">
        <f t="shared" si="18"/>
        <v>-342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684</v>
      </c>
      <c r="U45" s="2"/>
      <c r="V45" s="7">
        <f t="shared" si="21"/>
        <v>0</v>
      </c>
      <c r="W45" s="2"/>
      <c r="X45" s="6">
        <f t="shared" si="22"/>
        <v>-684</v>
      </c>
      <c r="Y45" s="2"/>
      <c r="Z45" s="7">
        <f t="shared" si="23"/>
        <v>-1</v>
      </c>
    </row>
    <row r="46" spans="1:26" s="24" customFormat="1" hidden="1" outlineLevel="2" x14ac:dyDescent="0.3">
      <c r="A46" s="27"/>
      <c r="B46" s="11" t="str">
        <f>CONCATENATE("          ", "6241", " - ", "OFFICE EXPENSE")</f>
        <v xml:space="preserve">          6241 - OFFICE EXPENSE</v>
      </c>
      <c r="C46" s="11"/>
      <c r="D46" s="6">
        <v>44.53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44.53</v>
      </c>
      <c r="M46" s="2"/>
      <c r="N46" s="7">
        <f t="shared" si="19"/>
        <v>0</v>
      </c>
      <c r="O46" s="11"/>
      <c r="P46" s="6">
        <v>44.53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44.53</v>
      </c>
      <c r="Y46" s="2"/>
      <c r="Z46" s="7">
        <f t="shared" si="23"/>
        <v>0</v>
      </c>
    </row>
    <row r="47" spans="1:26" s="28" customFormat="1" outlineLevel="1" collapsed="1" x14ac:dyDescent="0.3">
      <c r="A47" s="29"/>
      <c r="B47" s="14" t="str">
        <f>CONCATENATE("     ","Telephone/Data Lines                              ")</f>
        <v xml:space="preserve">     Telephone/Data Lines                              </v>
      </c>
      <c r="C47" s="14"/>
      <c r="D47" s="1">
        <f>SUM(OSRRefD22_5x_0)</f>
        <v>75</v>
      </c>
      <c r="E47" s="1"/>
      <c r="F47" s="5">
        <f t="shared" ref="F47:F49" si="24">IF(D$12=0,0,D47/D$12)</f>
        <v>0</v>
      </c>
      <c r="G47" s="1"/>
      <c r="H47" s="1">
        <f>SUM(OSRRefH22_5x_0)</f>
        <v>83</v>
      </c>
      <c r="I47" s="1"/>
      <c r="J47" s="5">
        <f t="shared" ref="J47:J49" si="25">IF(H$12=0,0,H47/H$12)</f>
        <v>0</v>
      </c>
      <c r="K47" s="1"/>
      <c r="L47" s="1">
        <f t="shared" ref="L47:L49" si="26">+D47-H47</f>
        <v>-8</v>
      </c>
      <c r="M47" s="1"/>
      <c r="N47" s="5">
        <f t="shared" ref="N47:N49" si="27">IF(H47=0,0,L47/H47)</f>
        <v>-9.6385542168674704E-2</v>
      </c>
      <c r="O47" s="14"/>
      <c r="P47" s="1">
        <f>SUM(OSRRefP22_5x_0)</f>
        <v>133</v>
      </c>
      <c r="Q47" s="1"/>
      <c r="R47" s="5">
        <f t="shared" ref="R47:R49" si="28">IF(P$12=0,0,P47/P$12)</f>
        <v>0</v>
      </c>
      <c r="S47" s="1"/>
      <c r="T47" s="1">
        <f>SUM(OSRRefT22_5x_0)</f>
        <v>166</v>
      </c>
      <c r="U47" s="1"/>
      <c r="V47" s="5">
        <f t="shared" ref="V47:V49" si="29">IF(T$12=0,0,T47/T$12)</f>
        <v>0</v>
      </c>
      <c r="W47" s="1"/>
      <c r="X47" s="1">
        <f t="shared" ref="X47:X49" si="30">+P47-T47</f>
        <v>-33</v>
      </c>
      <c r="Y47" s="1"/>
      <c r="Z47" s="5">
        <f t="shared" ref="Z47:Z49" si="31">IF(T47=0,0,X47/T47)</f>
        <v>-0.19879518072289157</v>
      </c>
    </row>
    <row r="48" spans="1:26" s="24" customFormat="1" hidden="1" outlineLevel="2" x14ac:dyDescent="0.3">
      <c r="A48" s="27"/>
      <c r="B48" s="11" t="str">
        <f>CONCATENATE("          ", "6303", " - ", "DATA PHONE LINES")</f>
        <v xml:space="preserve">          6303 - DATA PHONE LINES</v>
      </c>
      <c r="C48" s="11"/>
      <c r="D48" s="6"/>
      <c r="E48" s="2"/>
      <c r="F48" s="7">
        <f t="shared" si="24"/>
        <v>0</v>
      </c>
      <c r="G48" s="2"/>
      <c r="H48" s="6">
        <v>58</v>
      </c>
      <c r="I48" s="2"/>
      <c r="J48" s="7">
        <f t="shared" si="25"/>
        <v>0</v>
      </c>
      <c r="K48" s="2"/>
      <c r="L48" s="6">
        <f t="shared" si="26"/>
        <v>-58</v>
      </c>
      <c r="M48" s="2"/>
      <c r="N48" s="7">
        <f t="shared" si="27"/>
        <v>-1</v>
      </c>
      <c r="O48" s="11"/>
      <c r="P48" s="6"/>
      <c r="Q48" s="2"/>
      <c r="R48" s="7">
        <f t="shared" si="28"/>
        <v>0</v>
      </c>
      <c r="S48" s="2"/>
      <c r="T48" s="6">
        <v>116</v>
      </c>
      <c r="U48" s="2"/>
      <c r="V48" s="7">
        <f t="shared" si="29"/>
        <v>0</v>
      </c>
      <c r="W48" s="2"/>
      <c r="X48" s="6">
        <f t="shared" si="30"/>
        <v>-116</v>
      </c>
      <c r="Y48" s="2"/>
      <c r="Z48" s="7">
        <f t="shared" si="31"/>
        <v>-1</v>
      </c>
    </row>
    <row r="49" spans="1:26" s="24" customFormat="1" hidden="1" outlineLevel="2" x14ac:dyDescent="0.3">
      <c r="A49" s="27"/>
      <c r="B49" s="11" t="str">
        <f>CONCATENATE("          ", "6309", " - ", "TELEPHONE")</f>
        <v xml:space="preserve">          6309 - TELEPHONE</v>
      </c>
      <c r="C49" s="11"/>
      <c r="D49" s="6">
        <v>75</v>
      </c>
      <c r="E49" s="2"/>
      <c r="F49" s="7">
        <f t="shared" si="24"/>
        <v>0</v>
      </c>
      <c r="G49" s="2"/>
      <c r="H49" s="6">
        <v>25</v>
      </c>
      <c r="I49" s="2"/>
      <c r="J49" s="7">
        <f t="shared" si="25"/>
        <v>0</v>
      </c>
      <c r="K49" s="2"/>
      <c r="L49" s="6">
        <f t="shared" si="26"/>
        <v>50</v>
      </c>
      <c r="M49" s="2"/>
      <c r="N49" s="7">
        <f t="shared" si="27"/>
        <v>2</v>
      </c>
      <c r="O49" s="11"/>
      <c r="P49" s="6">
        <v>133</v>
      </c>
      <c r="Q49" s="2"/>
      <c r="R49" s="7">
        <f t="shared" si="28"/>
        <v>0</v>
      </c>
      <c r="S49" s="2"/>
      <c r="T49" s="6">
        <v>50</v>
      </c>
      <c r="U49" s="2"/>
      <c r="V49" s="7">
        <f t="shared" si="29"/>
        <v>0</v>
      </c>
      <c r="W49" s="2"/>
      <c r="X49" s="6">
        <f t="shared" si="30"/>
        <v>83</v>
      </c>
      <c r="Y49" s="2"/>
      <c r="Z49" s="7">
        <f t="shared" si="31"/>
        <v>1.66</v>
      </c>
    </row>
    <row r="50" spans="1:26" s="28" customFormat="1" outlineLevel="1" collapsed="1" x14ac:dyDescent="0.3">
      <c r="A50" s="29"/>
      <c r="B50" s="14" t="str">
        <f>CONCATENATE("     ","Training                                          ")</f>
        <v xml:space="preserve">     Training                                          </v>
      </c>
      <c r="C50" s="14"/>
      <c r="D50" s="1">
        <f>SUM(OSRRefD22_6x_0)</f>
        <v>0</v>
      </c>
      <c r="E50" s="1"/>
      <c r="F50" s="5">
        <f t="shared" ref="F50:F53" si="32">IF(D$12=0,0,D50/D$12)</f>
        <v>0</v>
      </c>
      <c r="G50" s="1"/>
      <c r="H50" s="1">
        <f>SUM(OSRRefH22_6x_0)</f>
        <v>300</v>
      </c>
      <c r="I50" s="1"/>
      <c r="J50" s="5">
        <f t="shared" ref="J50:J53" si="33">IF(H$12=0,0,H50/H$12)</f>
        <v>0</v>
      </c>
      <c r="K50" s="1"/>
      <c r="L50" s="1">
        <f t="shared" ref="L50:L53" si="34">+D50-H50</f>
        <v>-300</v>
      </c>
      <c r="M50" s="1"/>
      <c r="N50" s="5">
        <f t="shared" ref="N50:N53" si="35">IF(H50=0,0,L50/H50)</f>
        <v>-1</v>
      </c>
      <c r="O50" s="14"/>
      <c r="P50" s="1">
        <f>SUM(OSRRefP22_6x_0)</f>
        <v>0</v>
      </c>
      <c r="Q50" s="1"/>
      <c r="R50" s="5">
        <f t="shared" ref="R50:R53" si="36">IF(P$12=0,0,P50/P$12)</f>
        <v>0</v>
      </c>
      <c r="S50" s="1"/>
      <c r="T50" s="1">
        <f>SUM(OSRRefT22_6x_0)</f>
        <v>600</v>
      </c>
      <c r="U50" s="1"/>
      <c r="V50" s="5">
        <f t="shared" ref="V50:V53" si="37">IF(T$12=0,0,T50/T$12)</f>
        <v>0</v>
      </c>
      <c r="W50" s="1"/>
      <c r="X50" s="1">
        <f t="shared" ref="X50:X53" si="38">+P50-T50</f>
        <v>-600</v>
      </c>
      <c r="Y50" s="1"/>
      <c r="Z50" s="5">
        <f t="shared" ref="Z50:Z53" si="39">IF(T50=0,0,X50/T50)</f>
        <v>-1</v>
      </c>
    </row>
    <row r="51" spans="1:26" s="24" customFormat="1" hidden="1" outlineLevel="2" x14ac:dyDescent="0.3">
      <c r="A51" s="27"/>
      <c r="B51" s="11" t="str">
        <f>CONCATENATE("          ", "6376", " - ", "TRAINING")</f>
        <v xml:space="preserve">          6376 - TRAINING</v>
      </c>
      <c r="C51" s="11"/>
      <c r="D51" s="6"/>
      <c r="E51" s="2"/>
      <c r="F51" s="7">
        <f t="shared" si="32"/>
        <v>0</v>
      </c>
      <c r="G51" s="2"/>
      <c r="H51" s="6">
        <v>300</v>
      </c>
      <c r="I51" s="2"/>
      <c r="J51" s="7">
        <f t="shared" si="33"/>
        <v>0</v>
      </c>
      <c r="K51" s="2"/>
      <c r="L51" s="6">
        <f t="shared" si="34"/>
        <v>-300</v>
      </c>
      <c r="M51" s="2"/>
      <c r="N51" s="7">
        <f t="shared" si="35"/>
        <v>-1</v>
      </c>
      <c r="O51" s="11"/>
      <c r="P51" s="6"/>
      <c r="Q51" s="2"/>
      <c r="R51" s="7">
        <f t="shared" si="36"/>
        <v>0</v>
      </c>
      <c r="S51" s="2"/>
      <c r="T51" s="6">
        <v>600</v>
      </c>
      <c r="U51" s="2"/>
      <c r="V51" s="7">
        <f t="shared" si="37"/>
        <v>0</v>
      </c>
      <c r="W51" s="2"/>
      <c r="X51" s="6">
        <f t="shared" si="38"/>
        <v>-600</v>
      </c>
      <c r="Y51" s="2"/>
      <c r="Z51" s="7">
        <f t="shared" si="39"/>
        <v>-1</v>
      </c>
    </row>
    <row r="52" spans="1:26" s="28" customFormat="1" outlineLevel="1" collapsed="1" x14ac:dyDescent="0.3">
      <c r="A52" s="29"/>
      <c r="B52" s="14" t="str">
        <f>CONCATENATE("     ","Travel                                            ")</f>
        <v xml:space="preserve">     Travel                                            </v>
      </c>
      <c r="C52" s="14"/>
      <c r="D52" s="1">
        <f>SUM(OSRRefD22_7x_0)</f>
        <v>595</v>
      </c>
      <c r="E52" s="1"/>
      <c r="F52" s="5">
        <f t="shared" si="32"/>
        <v>0</v>
      </c>
      <c r="G52" s="1"/>
      <c r="H52" s="1">
        <f>SUM(OSRRefH22_7x_0)</f>
        <v>0</v>
      </c>
      <c r="I52" s="1"/>
      <c r="J52" s="5">
        <f t="shared" si="33"/>
        <v>0</v>
      </c>
      <c r="K52" s="1"/>
      <c r="L52" s="1">
        <f t="shared" si="34"/>
        <v>595</v>
      </c>
      <c r="M52" s="1"/>
      <c r="N52" s="5">
        <f t="shared" si="35"/>
        <v>0</v>
      </c>
      <c r="O52" s="14"/>
      <c r="P52" s="1">
        <f>SUM(OSRRefP22_7x_0)</f>
        <v>595</v>
      </c>
      <c r="Q52" s="1"/>
      <c r="R52" s="5">
        <f t="shared" si="36"/>
        <v>0</v>
      </c>
      <c r="S52" s="1"/>
      <c r="T52" s="1">
        <f>SUM(OSRRefT22_7x_0)</f>
        <v>0</v>
      </c>
      <c r="U52" s="1"/>
      <c r="V52" s="5">
        <f t="shared" si="37"/>
        <v>0</v>
      </c>
      <c r="W52" s="1"/>
      <c r="X52" s="1">
        <f t="shared" si="38"/>
        <v>595</v>
      </c>
      <c r="Y52" s="1"/>
      <c r="Z52" s="5">
        <f t="shared" si="39"/>
        <v>0</v>
      </c>
    </row>
    <row r="53" spans="1:26" s="24" customFormat="1" hidden="1" outlineLevel="2" x14ac:dyDescent="0.3">
      <c r="A53" s="27"/>
      <c r="B53" s="11" t="str">
        <f>CONCATENATE("          ", "6292", " - ", "TRAVEL/CONFERENCE")</f>
        <v xml:space="preserve">          6292 - TRAVEL/CONFERENCE</v>
      </c>
      <c r="C53" s="11"/>
      <c r="D53" s="6">
        <v>595</v>
      </c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595</v>
      </c>
      <c r="M53" s="2"/>
      <c r="N53" s="7">
        <f t="shared" si="35"/>
        <v>0</v>
      </c>
      <c r="O53" s="11"/>
      <c r="P53" s="6">
        <v>595</v>
      </c>
      <c r="Q53" s="2"/>
      <c r="R53" s="7">
        <f t="shared" si="36"/>
        <v>0</v>
      </c>
      <c r="S53" s="2"/>
      <c r="T53" s="6"/>
      <c r="U53" s="2"/>
      <c r="V53" s="7">
        <f t="shared" si="37"/>
        <v>0</v>
      </c>
      <c r="W53" s="2"/>
      <c r="X53" s="6">
        <f t="shared" si="38"/>
        <v>595</v>
      </c>
      <c r="Y53" s="2"/>
      <c r="Z53" s="7">
        <f t="shared" si="39"/>
        <v>0</v>
      </c>
    </row>
    <row r="54" spans="1:26" s="53" customFormat="1" x14ac:dyDescent="0.3">
      <c r="A54" s="36"/>
      <c r="B54" s="36"/>
      <c r="C54" s="36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3">
      <c r="A55" s="10"/>
      <c r="B55" s="25" t="s">
        <v>293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3">
      <c r="A57" s="10"/>
      <c r="B57" s="26" t="s">
        <v>277</v>
      </c>
      <c r="C57" s="26"/>
      <c r="D57" s="21">
        <f>+D16-D18+D55</f>
        <v>-18878.86</v>
      </c>
      <c r="E57" s="13"/>
      <c r="F57" s="20">
        <f>IF(D$12=0,0,D57/D$12)</f>
        <v>0</v>
      </c>
      <c r="G57" s="13"/>
      <c r="H57" s="21">
        <f>+H16-H18+H55</f>
        <v>-17174.263740000002</v>
      </c>
      <c r="I57" s="13"/>
      <c r="J57" s="20">
        <f>IF(H$12=0,0,H57/H$12)</f>
        <v>0</v>
      </c>
      <c r="K57" s="16"/>
      <c r="L57" s="21">
        <f>+D57-H57</f>
        <v>-1704.5962599999984</v>
      </c>
      <c r="M57" s="16"/>
      <c r="N57" s="20">
        <f>IF(H57=0,0,L57/H57)</f>
        <v>9.9252945325969372E-2</v>
      </c>
      <c r="O57" s="25"/>
      <c r="P57" s="21">
        <f>+P16-P18+P55</f>
        <v>-39554.46</v>
      </c>
      <c r="Q57" s="13"/>
      <c r="R57" s="20">
        <f>IF(P$12=0,0,P57/P$12)</f>
        <v>0</v>
      </c>
      <c r="S57" s="13"/>
      <c r="T57" s="21">
        <f>+T16-T18+T55</f>
        <v>-37041.593414999996</v>
      </c>
      <c r="U57" s="13"/>
      <c r="V57" s="20">
        <f>IF(T$12=0,0,T57/T$12)</f>
        <v>0</v>
      </c>
      <c r="W57" s="16"/>
      <c r="X57" s="21">
        <f>+P57-T57</f>
        <v>-2512.8665850000034</v>
      </c>
      <c r="Y57" s="16"/>
      <c r="Z57" s="20">
        <f>IF(T57=0,0,X57/T57)</f>
        <v>6.7839052085227461E-2</v>
      </c>
    </row>
    <row r="58" spans="1:26" x14ac:dyDescent="0.3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3">
      <c r="A59" s="52"/>
      <c r="B59" s="10" t="s">
        <v>128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3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" thickBot="1" x14ac:dyDescent="0.35">
      <c r="A61" s="10"/>
      <c r="B61" s="26" t="s">
        <v>126</v>
      </c>
      <c r="C61" s="26"/>
      <c r="D61" s="30">
        <f>+D57-D59</f>
        <v>-18878.86</v>
      </c>
      <c r="E61" s="13"/>
      <c r="F61" s="35">
        <f>IF(D$12=0,0,D61/D$12)</f>
        <v>0</v>
      </c>
      <c r="G61" s="13"/>
      <c r="H61" s="30">
        <f>+H57-H59</f>
        <v>-17174.263740000002</v>
      </c>
      <c r="I61" s="13"/>
      <c r="J61" s="35">
        <f>IF(H$12=0,0,H61/H$12)</f>
        <v>0</v>
      </c>
      <c r="K61" s="16"/>
      <c r="L61" s="30">
        <f>D61-H61</f>
        <v>-1704.5962599999984</v>
      </c>
      <c r="M61" s="16"/>
      <c r="N61" s="35">
        <f>IF(H61=0,0,L61/H61)</f>
        <v>9.9252945325969372E-2</v>
      </c>
      <c r="O61" s="25"/>
      <c r="P61" s="30">
        <f>+P57-P59</f>
        <v>-39554.46</v>
      </c>
      <c r="Q61" s="13"/>
      <c r="R61" s="35">
        <f>IF(P$12=0,0,P61/P$12)</f>
        <v>0</v>
      </c>
      <c r="S61" s="13"/>
      <c r="T61" s="30">
        <f>+T57-T59</f>
        <v>-37041.593414999996</v>
      </c>
      <c r="U61" s="13"/>
      <c r="V61" s="35">
        <f>IF(T$12=0,0,T61/T$12)</f>
        <v>0</v>
      </c>
      <c r="W61" s="16"/>
      <c r="X61" s="30">
        <f>P61-T61</f>
        <v>-2512.8665850000034</v>
      </c>
      <c r="Y61" s="16"/>
      <c r="Z61" s="35">
        <f>IF(T61=0,0,X61/T61)</f>
        <v>6.7839052085227461E-2</v>
      </c>
    </row>
    <row r="62" spans="1:26" ht="15" thickTop="1" x14ac:dyDescent="0.3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3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" thickBot="1" x14ac:dyDescent="0.35">
      <c r="A64" s="10"/>
      <c r="B64" s="26" t="s">
        <v>294</v>
      </c>
      <c r="C64" s="26"/>
      <c r="D64" s="32">
        <f>SUM(D61:D63)</f>
        <v>-18878.86</v>
      </c>
      <c r="E64" s="13"/>
      <c r="F64" s="34">
        <f>IF(D$12=0,0,D64/D$12)</f>
        <v>0</v>
      </c>
      <c r="G64" s="13"/>
      <c r="H64" s="32">
        <f>SUM(H61:H63)</f>
        <v>-17174.263740000002</v>
      </c>
      <c r="I64" s="13"/>
      <c r="J64" s="34">
        <f>IF(H$12=0,0,H64/H$12)</f>
        <v>0</v>
      </c>
      <c r="K64" s="16"/>
      <c r="L64" s="32">
        <f>+D64-H64</f>
        <v>-1704.5962599999984</v>
      </c>
      <c r="M64" s="16"/>
      <c r="N64" s="34">
        <f>IF(H64=0,0,L64/H64)</f>
        <v>9.9252945325969372E-2</v>
      </c>
      <c r="O64" s="25"/>
      <c r="P64" s="32">
        <f>SUM(P61:P63)</f>
        <v>-39554.46</v>
      </c>
      <c r="Q64" s="13"/>
      <c r="R64" s="34">
        <f>IF(P$12=0,0,P64/P$12)</f>
        <v>0</v>
      </c>
      <c r="S64" s="13"/>
      <c r="T64" s="32">
        <f>SUM(T61:T63)</f>
        <v>-37041.593414999996</v>
      </c>
      <c r="U64" s="13"/>
      <c r="V64" s="34">
        <f>IF(T$12=0,0,T64/T$12)</f>
        <v>0</v>
      </c>
      <c r="W64" s="16"/>
      <c r="X64" s="32">
        <f>+P64-T64</f>
        <v>-2512.8665850000034</v>
      </c>
      <c r="Y64" s="16"/>
      <c r="Z64" s="34">
        <f>IF(T64=0,0,X64/T64)</f>
        <v>6.7839052085227461E-2</v>
      </c>
    </row>
    <row r="65" spans="1:24" ht="15" thickTop="1" x14ac:dyDescent="0.3">
      <c r="A65" s="9"/>
      <c r="C65" s="9"/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3">
      <c r="A66" s="9"/>
      <c r="B66" s="61">
        <v>44470.835499687499</v>
      </c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4" x14ac:dyDescent="0.3">
      <c r="A67" s="9"/>
      <c r="B67" s="58" t="s">
        <v>56</v>
      </c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4" x14ac:dyDescent="0.3">
      <c r="A68" s="9"/>
      <c r="B68" s="55"/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4" x14ac:dyDescent="0.3"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","433", " - ", "Hillside Dining Hall")</f>
        <v>Department 433 - Hillside Dining Hall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210442.61</v>
      </c>
      <c r="E12" s="4"/>
      <c r="F12" s="12"/>
      <c r="G12" s="4"/>
      <c r="H12" s="4">
        <f>SUM(OSRRefH13x_0)</f>
        <v>113400</v>
      </c>
      <c r="I12" s="4"/>
      <c r="J12" s="12"/>
      <c r="K12" s="4"/>
      <c r="L12" s="4">
        <f t="shared" ref="L12:L16" si="0">+D12-H12</f>
        <v>97042.609999999986</v>
      </c>
      <c r="M12" s="4"/>
      <c r="N12" s="12">
        <f t="shared" ref="N12:N16" si="1">IF(H12=0,0,L12/H12)</f>
        <v>0.85575493827160487</v>
      </c>
      <c r="O12" s="10"/>
      <c r="P12" s="4">
        <f>SUM(OSRRefP13x_0)</f>
        <v>210442.61</v>
      </c>
      <c r="Q12" s="4"/>
      <c r="R12" s="12"/>
      <c r="S12" s="4"/>
      <c r="T12" s="4">
        <f>SUM(OSRRefT13x_0)</f>
        <v>113400</v>
      </c>
      <c r="U12" s="4"/>
      <c r="V12" s="12"/>
      <c r="W12" s="4"/>
      <c r="X12" s="4">
        <f t="shared" ref="X12:X16" si="2">+P12-T12</f>
        <v>97042.609999999986</v>
      </c>
      <c r="Y12" s="4"/>
      <c r="Z12" s="12">
        <f t="shared" ref="Z12:Z16" si="3">IF(T12=0,0,X12/T12)</f>
        <v>0.85575493827160487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--303.31</f>
        <v>303.31</v>
      </c>
      <c r="E13" s="2"/>
      <c r="F13" s="19"/>
      <c r="G13" s="2"/>
      <c r="H13" s="2"/>
      <c r="I13" s="2"/>
      <c r="J13" s="19"/>
      <c r="K13" s="2"/>
      <c r="L13" s="2">
        <f t="shared" si="0"/>
        <v>303.31</v>
      </c>
      <c r="M13" s="2"/>
      <c r="N13" s="19">
        <f t="shared" si="1"/>
        <v>0</v>
      </c>
      <c r="O13" s="11"/>
      <c r="P13" s="2">
        <f>--303.31</f>
        <v>303.31</v>
      </c>
      <c r="Q13" s="2"/>
      <c r="R13" s="19"/>
      <c r="S13" s="2"/>
      <c r="T13" s="2"/>
      <c r="U13" s="2"/>
      <c r="V13" s="19"/>
      <c r="W13" s="2"/>
      <c r="X13" s="2">
        <f t="shared" si="2"/>
        <v>303.31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113400</v>
      </c>
      <c r="I14" s="2"/>
      <c r="J14" s="19"/>
      <c r="K14" s="2"/>
      <c r="L14" s="2">
        <f t="shared" si="0"/>
        <v>-113400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113400</v>
      </c>
      <c r="U14" s="2"/>
      <c r="V14" s="19"/>
      <c r="W14" s="2"/>
      <c r="X14" s="2">
        <f t="shared" si="2"/>
        <v>-113400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--196022.21</f>
        <v>196022.21</v>
      </c>
      <c r="E15" s="2"/>
      <c r="F15" s="19"/>
      <c r="G15" s="2"/>
      <c r="H15" s="2"/>
      <c r="I15" s="2"/>
      <c r="J15" s="19"/>
      <c r="K15" s="2"/>
      <c r="L15" s="2">
        <f t="shared" si="0"/>
        <v>196022.21</v>
      </c>
      <c r="M15" s="2"/>
      <c r="N15" s="19">
        <f t="shared" si="1"/>
        <v>0</v>
      </c>
      <c r="O15" s="11"/>
      <c r="P15" s="2">
        <f>--196022.21</f>
        <v>196022.21</v>
      </c>
      <c r="Q15" s="2"/>
      <c r="R15" s="19"/>
      <c r="S15" s="2"/>
      <c r="T15" s="2"/>
      <c r="U15" s="2"/>
      <c r="V15" s="19"/>
      <c r="W15" s="2"/>
      <c r="X15" s="2">
        <f t="shared" si="2"/>
        <v>196022.21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--14117.09</f>
        <v>14117.09</v>
      </c>
      <c r="E16" s="2"/>
      <c r="F16" s="19"/>
      <c r="G16" s="2"/>
      <c r="H16" s="2"/>
      <c r="I16" s="2"/>
      <c r="J16" s="19"/>
      <c r="K16" s="2"/>
      <c r="L16" s="2">
        <f t="shared" si="0"/>
        <v>14117.09</v>
      </c>
      <c r="M16" s="2"/>
      <c r="N16" s="19">
        <f t="shared" si="1"/>
        <v>0</v>
      </c>
      <c r="O16" s="11"/>
      <c r="P16" s="2">
        <f>--14117.09</f>
        <v>14117.09</v>
      </c>
      <c r="Q16" s="2"/>
      <c r="R16" s="19"/>
      <c r="S16" s="2"/>
      <c r="T16" s="2"/>
      <c r="U16" s="2"/>
      <c r="V16" s="19"/>
      <c r="W16" s="2"/>
      <c r="X16" s="2">
        <f t="shared" si="2"/>
        <v>14117.09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49432.229999999996</v>
      </c>
      <c r="E18" s="4"/>
      <c r="F18" s="12">
        <f t="shared" ref="F18:F21" si="4">IF(D$12=0,0,D18/D$12)</f>
        <v>0.23489648793084253</v>
      </c>
      <c r="G18" s="4"/>
      <c r="H18" s="4">
        <f>SUM(OSRRefH16x_0)</f>
        <v>56700</v>
      </c>
      <c r="I18" s="4"/>
      <c r="J18" s="12">
        <f t="shared" ref="J18:J21" si="5">IF(H$12=0,0,H18/H$12)</f>
        <v>0.5</v>
      </c>
      <c r="K18" s="4"/>
      <c r="L18" s="4">
        <f t="shared" ref="L18:L21" si="6">+D18-H18</f>
        <v>-7267.7700000000041</v>
      </c>
      <c r="M18" s="4"/>
      <c r="N18" s="12">
        <f t="shared" ref="N18:N21" si="7">IF(H18=0,0,L18/H18)</f>
        <v>-0.12817936507936514</v>
      </c>
      <c r="O18" s="10"/>
      <c r="P18" s="4">
        <f>SUM(OSRRefP16x_0)</f>
        <v>49432.229999999996</v>
      </c>
      <c r="Q18" s="4"/>
      <c r="R18" s="12">
        <f t="shared" ref="R18:R21" si="8">IF(P$12=0,0,P18/P$12)</f>
        <v>0.23489648793084253</v>
      </c>
      <c r="S18" s="4"/>
      <c r="T18" s="4">
        <f>SUM(OSRRefT16x_0)</f>
        <v>56700</v>
      </c>
      <c r="U18" s="4"/>
      <c r="V18" s="12">
        <f t="shared" ref="V18:V21" si="9">IF(T$12=0,0,T18/T$12)</f>
        <v>0.5</v>
      </c>
      <c r="W18" s="4"/>
      <c r="X18" s="4">
        <f t="shared" ref="X18:X21" si="10">+P18-T18</f>
        <v>-7267.7700000000041</v>
      </c>
      <c r="Y18" s="4"/>
      <c r="Z18" s="12">
        <f t="shared" ref="Z18:Z21" si="11">IF(T18=0,0,X18/T18)</f>
        <v>-0.12817936507936514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56700</v>
      </c>
      <c r="I19" s="2"/>
      <c r="J19" s="19">
        <f t="shared" si="5"/>
        <v>0.5</v>
      </c>
      <c r="K19" s="2"/>
      <c r="L19" s="2">
        <f t="shared" si="6"/>
        <v>-56700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56700</v>
      </c>
      <c r="U19" s="2"/>
      <c r="V19" s="19">
        <f t="shared" si="9"/>
        <v>0.5</v>
      </c>
      <c r="W19" s="2"/>
      <c r="X19" s="2">
        <f t="shared" si="10"/>
        <v>-56700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70670.23</v>
      </c>
      <c r="E20" s="2"/>
      <c r="F20" s="19">
        <f t="shared" si="4"/>
        <v>0.33581711422415833</v>
      </c>
      <c r="G20" s="2"/>
      <c r="H20" s="2"/>
      <c r="I20" s="2"/>
      <c r="J20" s="19">
        <f t="shared" si="5"/>
        <v>0</v>
      </c>
      <c r="K20" s="2"/>
      <c r="L20" s="2">
        <f t="shared" si="6"/>
        <v>70670.23</v>
      </c>
      <c r="M20" s="2"/>
      <c r="N20" s="19">
        <f t="shared" si="7"/>
        <v>0</v>
      </c>
      <c r="O20" s="11"/>
      <c r="P20" s="2">
        <v>70670.23</v>
      </c>
      <c r="Q20" s="2"/>
      <c r="R20" s="19">
        <f t="shared" si="8"/>
        <v>0.33581711422415833</v>
      </c>
      <c r="S20" s="2"/>
      <c r="T20" s="2"/>
      <c r="U20" s="2"/>
      <c r="V20" s="19">
        <f t="shared" si="9"/>
        <v>0</v>
      </c>
      <c r="W20" s="2"/>
      <c r="X20" s="2">
        <f t="shared" si="10"/>
        <v>70670.23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-21238</v>
      </c>
      <c r="E21" s="2"/>
      <c r="F21" s="19">
        <f t="shared" si="4"/>
        <v>-0.1009206262933158</v>
      </c>
      <c r="G21" s="2"/>
      <c r="H21" s="2"/>
      <c r="I21" s="2"/>
      <c r="J21" s="19">
        <f t="shared" si="5"/>
        <v>0</v>
      </c>
      <c r="K21" s="2"/>
      <c r="L21" s="2">
        <f t="shared" si="6"/>
        <v>-21238</v>
      </c>
      <c r="M21" s="2"/>
      <c r="N21" s="19">
        <f t="shared" si="7"/>
        <v>0</v>
      </c>
      <c r="O21" s="11"/>
      <c r="P21" s="2">
        <v>-21238</v>
      </c>
      <c r="Q21" s="2"/>
      <c r="R21" s="19">
        <f t="shared" si="8"/>
        <v>-0.1009206262933158</v>
      </c>
      <c r="S21" s="2"/>
      <c r="T21" s="2"/>
      <c r="U21" s="2"/>
      <c r="V21" s="19">
        <f t="shared" si="9"/>
        <v>0</v>
      </c>
      <c r="W21" s="2"/>
      <c r="X21" s="2">
        <f t="shared" si="10"/>
        <v>-21238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161010.38</v>
      </c>
      <c r="E23" s="13"/>
      <c r="F23" s="20">
        <f>IF(D$12=0,0,D23/D$12)</f>
        <v>0.7651035120691575</v>
      </c>
      <c r="G23" s="13"/>
      <c r="H23" s="21">
        <f>H12-H18</f>
        <v>56700</v>
      </c>
      <c r="I23" s="13"/>
      <c r="J23" s="20">
        <f>IF(H$12=0,0,H23/H$12)</f>
        <v>0.5</v>
      </c>
      <c r="K23" s="16"/>
      <c r="L23" s="21">
        <f>+D23-H23</f>
        <v>104310.38</v>
      </c>
      <c r="M23" s="16"/>
      <c r="N23" s="20">
        <f>IF(H23=0,0,L23/H23)</f>
        <v>1.839689241622575</v>
      </c>
      <c r="O23" s="25"/>
      <c r="P23" s="21">
        <f>P12-P18</f>
        <v>161010.38</v>
      </c>
      <c r="Q23" s="13"/>
      <c r="R23" s="20">
        <f>IF(P$12=0,0,P23/P$12)</f>
        <v>0.7651035120691575</v>
      </c>
      <c r="S23" s="13"/>
      <c r="T23" s="21">
        <f>T12-T18</f>
        <v>56700</v>
      </c>
      <c r="U23" s="13"/>
      <c r="V23" s="20">
        <f>IF(T$12=0,0,T23/T$12)</f>
        <v>0.5</v>
      </c>
      <c r="W23" s="16"/>
      <c r="X23" s="21">
        <f>+P23-T23</f>
        <v>104310.38</v>
      </c>
      <c r="Y23" s="16"/>
      <c r="Z23" s="20">
        <f>IF(T23=0,0,X23/T23)</f>
        <v>1.839689241622575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2">
        <f>SUM(OSRRefD22x_0)</f>
        <v>93012.349999999991</v>
      </c>
      <c r="E25" s="22"/>
      <c r="F25" s="31">
        <f t="shared" ref="F25:F36" si="12">IF(D$12=0,0,D25/D$12)</f>
        <v>0.44198439660104955</v>
      </c>
      <c r="G25" s="22"/>
      <c r="H25" s="22">
        <f>SUM(OSRRefH22x_0)</f>
        <v>132341.81589692301</v>
      </c>
      <c r="I25" s="22"/>
      <c r="J25" s="31">
        <f t="shared" ref="J25:J36" si="13">IF(H$12=0,0,H25/H$12)</f>
        <v>1.1670354135531129</v>
      </c>
      <c r="K25" s="4"/>
      <c r="L25" s="22">
        <f t="shared" ref="L25:L36" si="14">+D25-H25</f>
        <v>-39329.465896923022</v>
      </c>
      <c r="M25" s="4"/>
      <c r="N25" s="31">
        <f t="shared" ref="N25:N36" si="15">IF(H25=0,0,L25/H25)</f>
        <v>-0.29718094489163982</v>
      </c>
      <c r="O25" s="10"/>
      <c r="P25" s="22">
        <f>SUM(OSRRefP22x_0)</f>
        <v>134511.16</v>
      </c>
      <c r="Q25" s="22"/>
      <c r="R25" s="31">
        <f t="shared" ref="R25:R36" si="16">IF(P$12=0,0,P25/P$12)</f>
        <v>0.63918215042096282</v>
      </c>
      <c r="S25" s="22"/>
      <c r="T25" s="22">
        <f>SUM(OSRRefT22x_0)</f>
        <v>250076.18426807688</v>
      </c>
      <c r="U25" s="22"/>
      <c r="V25" s="31">
        <f t="shared" ref="V25:V36" si="17">IF(T$12=0,0,T25/T$12)</f>
        <v>2.2052573568613481</v>
      </c>
      <c r="W25" s="4"/>
      <c r="X25" s="22">
        <f t="shared" ref="X25:X36" si="18">+P25-T25</f>
        <v>-115565.02426807687</v>
      </c>
      <c r="Y25" s="4"/>
      <c r="Z25" s="31">
        <f t="shared" ref="Z25:Z36" si="19">IF(T25=0,0,X25/T25)</f>
        <v>-0.46211927219824095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19309.000000000004</v>
      </c>
      <c r="E26" s="1"/>
      <c r="F26" s="5">
        <f t="shared" si="12"/>
        <v>9.1754231711914255E-2</v>
      </c>
      <c r="G26" s="1"/>
      <c r="H26" s="1">
        <f>SUM(OSRRefH22_0x_0)</f>
        <v>31845.394358461523</v>
      </c>
      <c r="I26" s="1"/>
      <c r="J26" s="5">
        <f t="shared" si="13"/>
        <v>0.28082358340794994</v>
      </c>
      <c r="K26" s="1"/>
      <c r="L26" s="1">
        <f t="shared" si="14"/>
        <v>-12536.394358461519</v>
      </c>
      <c r="M26" s="1"/>
      <c r="N26" s="5">
        <f t="shared" si="15"/>
        <v>-0.39366428367468215</v>
      </c>
      <c r="O26" s="14"/>
      <c r="P26" s="1">
        <f>SUM(OSRRefP22_0x_0)</f>
        <v>36103.340000000004</v>
      </c>
      <c r="Q26" s="1"/>
      <c r="R26" s="5">
        <f t="shared" si="16"/>
        <v>0.17155907731803938</v>
      </c>
      <c r="S26" s="1"/>
      <c r="T26" s="1">
        <f>SUM(OSRRefT22_0x_0)</f>
        <v>68570.735806538476</v>
      </c>
      <c r="U26" s="1"/>
      <c r="V26" s="5">
        <f t="shared" si="17"/>
        <v>0.60468020993420168</v>
      </c>
      <c r="W26" s="1"/>
      <c r="X26" s="1">
        <f t="shared" si="18"/>
        <v>-32467.395806538472</v>
      </c>
      <c r="Y26" s="1"/>
      <c r="Z26" s="5">
        <f t="shared" si="19"/>
        <v>-0.47348763907303126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2326.91</v>
      </c>
      <c r="E27" s="2"/>
      <c r="F27" s="7">
        <f t="shared" si="12"/>
        <v>1.1057218877868888E-2</v>
      </c>
      <c r="G27" s="2"/>
      <c r="H27" s="6">
        <v>3995.5842046153798</v>
      </c>
      <c r="I27" s="2"/>
      <c r="J27" s="7">
        <f t="shared" si="13"/>
        <v>3.5234428612128568E-2</v>
      </c>
      <c r="K27" s="2"/>
      <c r="L27" s="6">
        <f t="shared" si="14"/>
        <v>-1668.6742046153799</v>
      </c>
      <c r="M27" s="2"/>
      <c r="N27" s="7">
        <f t="shared" si="15"/>
        <v>-0.4176295928610041</v>
      </c>
      <c r="O27" s="11"/>
      <c r="P27" s="6">
        <v>3696.13</v>
      </c>
      <c r="Q27" s="2"/>
      <c r="R27" s="7">
        <f t="shared" si="16"/>
        <v>1.7563600831599649E-2</v>
      </c>
      <c r="S27" s="2"/>
      <c r="T27" s="6">
        <v>8794.9129603846104</v>
      </c>
      <c r="U27" s="2"/>
      <c r="V27" s="7">
        <f t="shared" si="17"/>
        <v>7.7556551678876637E-2</v>
      </c>
      <c r="W27" s="2"/>
      <c r="X27" s="6">
        <f t="shared" si="18"/>
        <v>-5098.7829603846103</v>
      </c>
      <c r="Y27" s="2"/>
      <c r="Z27" s="7">
        <f t="shared" si="19"/>
        <v>-0.57974228776922831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1059.3499999999999</v>
      </c>
      <c r="E28" s="2"/>
      <c r="F28" s="7">
        <f t="shared" si="12"/>
        <v>5.0339139967899085E-3</v>
      </c>
      <c r="G28" s="2"/>
      <c r="H28" s="6">
        <v>2509.33567692308</v>
      </c>
      <c r="I28" s="2"/>
      <c r="J28" s="7">
        <f t="shared" si="13"/>
        <v>2.2128180572513933E-2</v>
      </c>
      <c r="K28" s="2"/>
      <c r="L28" s="6">
        <f t="shared" si="14"/>
        <v>-1449.9856769230801</v>
      </c>
      <c r="M28" s="2"/>
      <c r="N28" s="7">
        <f t="shared" si="15"/>
        <v>-0.57783647291901441</v>
      </c>
      <c r="O28" s="11"/>
      <c r="P28" s="6">
        <v>1702.82</v>
      </c>
      <c r="Q28" s="2"/>
      <c r="R28" s="7">
        <f t="shared" si="16"/>
        <v>8.0916122452577462E-3</v>
      </c>
      <c r="S28" s="2"/>
      <c r="T28" s="6">
        <v>4886.1102730769298</v>
      </c>
      <c r="U28" s="2"/>
      <c r="V28" s="7">
        <f t="shared" si="17"/>
        <v>4.3087392178808907E-2</v>
      </c>
      <c r="W28" s="2"/>
      <c r="X28" s="6">
        <f t="shared" si="18"/>
        <v>-3183.2902730769301</v>
      </c>
      <c r="Y28" s="2"/>
      <c r="Z28" s="7">
        <f t="shared" si="19"/>
        <v>-0.65149783675928319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10588.88</v>
      </c>
      <c r="E29" s="2"/>
      <c r="F29" s="7">
        <f t="shared" si="12"/>
        <v>5.0317186239041606E-2</v>
      </c>
      <c r="G29" s="2"/>
      <c r="H29" s="6">
        <v>20158.384615384599</v>
      </c>
      <c r="I29" s="2"/>
      <c r="J29" s="7">
        <f t="shared" si="13"/>
        <v>0.17776353276353263</v>
      </c>
      <c r="K29" s="2"/>
      <c r="L29" s="6">
        <f t="shared" si="14"/>
        <v>-9569.5046153845997</v>
      </c>
      <c r="M29" s="2"/>
      <c r="N29" s="7">
        <f t="shared" si="15"/>
        <v>-0.47471584643152837</v>
      </c>
      <c r="O29" s="11"/>
      <c r="P29" s="6">
        <v>21177.759999999998</v>
      </c>
      <c r="Q29" s="2"/>
      <c r="R29" s="7">
        <f t="shared" si="16"/>
        <v>0.10063437247808321</v>
      </c>
      <c r="S29" s="2"/>
      <c r="T29" s="6">
        <v>43873.615384615397</v>
      </c>
      <c r="U29" s="2"/>
      <c r="V29" s="7">
        <f t="shared" si="17"/>
        <v>0.38689255189255201</v>
      </c>
      <c r="W29" s="2"/>
      <c r="X29" s="6">
        <f t="shared" si="18"/>
        <v>-22695.855384615399</v>
      </c>
      <c r="Y29" s="2"/>
      <c r="Z29" s="7">
        <f t="shared" si="19"/>
        <v>-0.51730077828447818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76.510000000000005</v>
      </c>
      <c r="E30" s="2"/>
      <c r="F30" s="7">
        <f t="shared" si="12"/>
        <v>3.6356705517005328E-4</v>
      </c>
      <c r="G30" s="2"/>
      <c r="H30" s="6">
        <v>139.03970769230801</v>
      </c>
      <c r="I30" s="2"/>
      <c r="J30" s="7">
        <f t="shared" si="13"/>
        <v>1.226099715099718E-3</v>
      </c>
      <c r="K30" s="2"/>
      <c r="L30" s="6">
        <f t="shared" si="14"/>
        <v>-62.529707692308008</v>
      </c>
      <c r="M30" s="2"/>
      <c r="N30" s="7">
        <f t="shared" si="15"/>
        <v>-0.44972554049584851</v>
      </c>
      <c r="O30" s="11"/>
      <c r="P30" s="6">
        <v>122.98</v>
      </c>
      <c r="Q30" s="2"/>
      <c r="R30" s="7">
        <f t="shared" si="16"/>
        <v>5.8438735387286831E-4</v>
      </c>
      <c r="S30" s="2"/>
      <c r="T30" s="6">
        <v>270.734342307693</v>
      </c>
      <c r="U30" s="2"/>
      <c r="V30" s="7">
        <f t="shared" si="17"/>
        <v>2.3874280626780689E-3</v>
      </c>
      <c r="W30" s="2"/>
      <c r="X30" s="6">
        <f t="shared" si="18"/>
        <v>-147.75434230769298</v>
      </c>
      <c r="Y30" s="2"/>
      <c r="Z30" s="7">
        <f t="shared" si="19"/>
        <v>-0.54575397065721465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935.58</v>
      </c>
      <c r="E31" s="2"/>
      <c r="F31" s="7">
        <f t="shared" si="12"/>
        <v>4.4457726503201993E-3</v>
      </c>
      <c r="G31" s="2"/>
      <c r="H31" s="6">
        <v>1246.0870769230801</v>
      </c>
      <c r="I31" s="2"/>
      <c r="J31" s="7">
        <f t="shared" si="13"/>
        <v>1.0988422195088889E-2</v>
      </c>
      <c r="K31" s="2"/>
      <c r="L31" s="6">
        <f t="shared" si="14"/>
        <v>-310.50707692308004</v>
      </c>
      <c r="M31" s="2"/>
      <c r="N31" s="7">
        <f t="shared" si="15"/>
        <v>-0.2491856971101927</v>
      </c>
      <c r="O31" s="11"/>
      <c r="P31" s="6">
        <v>1871.16</v>
      </c>
      <c r="Q31" s="2"/>
      <c r="R31" s="7">
        <f t="shared" si="16"/>
        <v>8.8915453006403987E-3</v>
      </c>
      <c r="S31" s="2"/>
      <c r="T31" s="6">
        <v>2803.6959230769298</v>
      </c>
      <c r="U31" s="2"/>
      <c r="V31" s="7">
        <f t="shared" si="17"/>
        <v>2.472394993895E-2</v>
      </c>
      <c r="W31" s="2"/>
      <c r="X31" s="6">
        <f t="shared" si="18"/>
        <v>-932.53592307692975</v>
      </c>
      <c r="Y31" s="2"/>
      <c r="Z31" s="7">
        <f t="shared" si="19"/>
        <v>-0.33260950854239346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576.29</v>
      </c>
      <c r="E33" s="2"/>
      <c r="F33" s="7">
        <f t="shared" si="12"/>
        <v>2.7384663210554177E-3</v>
      </c>
      <c r="G33" s="2"/>
      <c r="H33" s="6"/>
      <c r="I33" s="2"/>
      <c r="J33" s="7">
        <f t="shared" si="13"/>
        <v>0</v>
      </c>
      <c r="K33" s="2"/>
      <c r="L33" s="6">
        <f t="shared" si="14"/>
        <v>576.29</v>
      </c>
      <c r="M33" s="2"/>
      <c r="N33" s="7">
        <f t="shared" si="15"/>
        <v>0</v>
      </c>
      <c r="O33" s="11"/>
      <c r="P33" s="6">
        <v>922.71</v>
      </c>
      <c r="Q33" s="2"/>
      <c r="R33" s="7">
        <f t="shared" si="16"/>
        <v>4.3846158342172245E-3</v>
      </c>
      <c r="S33" s="2"/>
      <c r="T33" s="6"/>
      <c r="U33" s="2"/>
      <c r="V33" s="7">
        <f t="shared" si="17"/>
        <v>0</v>
      </c>
      <c r="W33" s="2"/>
      <c r="X33" s="6">
        <f t="shared" si="18"/>
        <v>922.71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6">
        <v>2025.74</v>
      </c>
      <c r="E34" s="2"/>
      <c r="F34" s="7">
        <f t="shared" si="12"/>
        <v>9.6260923583869271E-3</v>
      </c>
      <c r="G34" s="2"/>
      <c r="H34" s="6">
        <v>1810.68153846154</v>
      </c>
      <c r="I34" s="2"/>
      <c r="J34" s="7">
        <f t="shared" si="13"/>
        <v>1.5967209333876013E-2</v>
      </c>
      <c r="K34" s="2"/>
      <c r="L34" s="6">
        <f t="shared" si="14"/>
        <v>215.05846153846005</v>
      </c>
      <c r="M34" s="2"/>
      <c r="N34" s="7">
        <f t="shared" si="15"/>
        <v>0.11877210706040897</v>
      </c>
      <c r="O34" s="11"/>
      <c r="P34" s="6">
        <v>3473.55</v>
      </c>
      <c r="Q34" s="2"/>
      <c r="R34" s="7">
        <f t="shared" si="16"/>
        <v>1.6505925297162966E-2</v>
      </c>
      <c r="S34" s="2"/>
      <c r="T34" s="6">
        <v>4074.03346153846</v>
      </c>
      <c r="U34" s="2"/>
      <c r="V34" s="7">
        <f t="shared" si="17"/>
        <v>3.592622100122099E-2</v>
      </c>
      <c r="W34" s="2"/>
      <c r="X34" s="6">
        <f t="shared" si="18"/>
        <v>-600.48346153845978</v>
      </c>
      <c r="Y34" s="2"/>
      <c r="Z34" s="7">
        <f t="shared" si="19"/>
        <v>-0.14739286439530169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6">
        <v>1239.22</v>
      </c>
      <c r="E35" s="2"/>
      <c r="F35" s="7">
        <f t="shared" si="12"/>
        <v>5.8886363365289957E-3</v>
      </c>
      <c r="G35" s="2"/>
      <c r="H35" s="6">
        <v>1986.2815384615401</v>
      </c>
      <c r="I35" s="2"/>
      <c r="J35" s="7">
        <f t="shared" si="13"/>
        <v>1.7515710215710231E-2</v>
      </c>
      <c r="K35" s="2"/>
      <c r="L35" s="6">
        <f t="shared" si="14"/>
        <v>-747.06153846154007</v>
      </c>
      <c r="M35" s="2"/>
      <c r="N35" s="7">
        <f t="shared" si="15"/>
        <v>-0.3761105986214679</v>
      </c>
      <c r="O35" s="11"/>
      <c r="P35" s="6">
        <v>2089.36</v>
      </c>
      <c r="Q35" s="2"/>
      <c r="R35" s="7">
        <f t="shared" si="16"/>
        <v>9.9284075596667437E-3</v>
      </c>
      <c r="S35" s="2"/>
      <c r="T35" s="6">
        <v>3867.6334615384599</v>
      </c>
      <c r="U35" s="2"/>
      <c r="V35" s="7">
        <f t="shared" si="17"/>
        <v>3.4106115181115164E-2</v>
      </c>
      <c r="W35" s="2"/>
      <c r="X35" s="6">
        <f t="shared" si="18"/>
        <v>-1778.2734615384597</v>
      </c>
      <c r="Y35" s="2"/>
      <c r="Z35" s="7">
        <f t="shared" si="19"/>
        <v>-0.45978334793677722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6">
        <v>480.52</v>
      </c>
      <c r="E36" s="2"/>
      <c r="F36" s="7">
        <f t="shared" si="12"/>
        <v>2.2833778767522416E-3</v>
      </c>
      <c r="G36" s="2"/>
      <c r="H36" s="6"/>
      <c r="I36" s="2"/>
      <c r="J36" s="7">
        <f t="shared" si="13"/>
        <v>0</v>
      </c>
      <c r="K36" s="2"/>
      <c r="L36" s="6">
        <f t="shared" si="14"/>
        <v>480.52</v>
      </c>
      <c r="M36" s="2"/>
      <c r="N36" s="7">
        <f t="shared" si="15"/>
        <v>0</v>
      </c>
      <c r="O36" s="11"/>
      <c r="P36" s="6">
        <v>1046.8699999999999</v>
      </c>
      <c r="Q36" s="2"/>
      <c r="R36" s="7">
        <f t="shared" si="16"/>
        <v>4.9746104175385393E-3</v>
      </c>
      <c r="S36" s="2"/>
      <c r="T36" s="6"/>
      <c r="U36" s="2"/>
      <c r="V36" s="7">
        <f t="shared" si="17"/>
        <v>0</v>
      </c>
      <c r="W36" s="2"/>
      <c r="X36" s="6">
        <f t="shared" si="18"/>
        <v>1046.8699999999999</v>
      </c>
      <c r="Y36" s="2"/>
      <c r="Z36" s="7">
        <f t="shared" si="19"/>
        <v>0</v>
      </c>
    </row>
    <row r="37" spans="1:26" s="28" customFormat="1" outlineLevel="1" collapsed="1" x14ac:dyDescent="0.3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38013.68</v>
      </c>
      <c r="E37" s="1"/>
      <c r="F37" s="5">
        <f t="shared" ref="F37:F47" si="20">IF(D$12=0,0,D37/D$12)</f>
        <v>0.18063680164392565</v>
      </c>
      <c r="G37" s="1"/>
      <c r="H37" s="1">
        <f>SUM(OSRRefH22_1x_0)</f>
        <v>63138.421538461502</v>
      </c>
      <c r="I37" s="1"/>
      <c r="J37" s="5">
        <f t="shared" ref="J37:J47" si="21">IF(H$12=0,0,H37/H$12)</f>
        <v>0.55677620404287043</v>
      </c>
      <c r="K37" s="1"/>
      <c r="L37" s="1">
        <f t="shared" ref="L37:L47" si="22">+D37-H37</f>
        <v>-25124.741538461501</v>
      </c>
      <c r="M37" s="1"/>
      <c r="N37" s="5">
        <f t="shared" ref="N37:N47" si="23">IF(H37=0,0,L37/H37)</f>
        <v>-0.39793110005381549</v>
      </c>
      <c r="O37" s="14"/>
      <c r="P37" s="1">
        <f>SUM(OSRRefP22_1x_0)</f>
        <v>56888.95</v>
      </c>
      <c r="Q37" s="1"/>
      <c r="R37" s="5">
        <f t="shared" ref="R37:R47" si="24">IF(P$12=0,0,P37/P$12)</f>
        <v>0.27032999638238664</v>
      </c>
      <c r="S37" s="1"/>
      <c r="T37" s="1">
        <f>SUM(OSRRefT22_1x_0)</f>
        <v>122011.4484615384</v>
      </c>
      <c r="U37" s="1"/>
      <c r="V37" s="5">
        <f t="shared" ref="V37:V47" si="25">IF(T$12=0,0,T37/T$12)</f>
        <v>1.075938698955365</v>
      </c>
      <c r="W37" s="1"/>
      <c r="X37" s="1">
        <f t="shared" ref="X37:X47" si="26">+P37-T37</f>
        <v>-65122.498461538402</v>
      </c>
      <c r="Y37" s="1"/>
      <c r="Z37" s="5">
        <f t="shared" ref="Z37:Z47" si="27">IF(T37=0,0,X37/T37)</f>
        <v>-0.53374088483235183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6">
        <v>10797.37</v>
      </c>
      <c r="E39" s="2"/>
      <c r="F39" s="7">
        <f t="shared" si="20"/>
        <v>5.1307907652352353E-2</v>
      </c>
      <c r="G39" s="2"/>
      <c r="H39" s="6">
        <v>13620.0215384615</v>
      </c>
      <c r="I39" s="2"/>
      <c r="J39" s="7">
        <f t="shared" si="21"/>
        <v>0.12010601003934304</v>
      </c>
      <c r="K39" s="2"/>
      <c r="L39" s="6">
        <f t="shared" si="22"/>
        <v>-2822.6515384614995</v>
      </c>
      <c r="M39" s="2"/>
      <c r="N39" s="7">
        <f t="shared" si="23"/>
        <v>-0.2072428101887086</v>
      </c>
      <c r="O39" s="11"/>
      <c r="P39" s="6">
        <v>21026.89</v>
      </c>
      <c r="Q39" s="2"/>
      <c r="R39" s="7">
        <f t="shared" si="24"/>
        <v>9.9917454929873764E-2</v>
      </c>
      <c r="S39" s="2"/>
      <c r="T39" s="6">
        <v>30645.048461538401</v>
      </c>
      <c r="U39" s="2"/>
      <c r="V39" s="7">
        <f t="shared" si="25"/>
        <v>0.27023852258852205</v>
      </c>
      <c r="W39" s="2"/>
      <c r="X39" s="6">
        <f t="shared" si="26"/>
        <v>-9618.1584615384018</v>
      </c>
      <c r="Y39" s="2"/>
      <c r="Z39" s="7">
        <f t="shared" si="27"/>
        <v>-0.31385685271830582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6">
        <v>14603.12</v>
      </c>
      <c r="E41" s="2"/>
      <c r="F41" s="7">
        <f t="shared" si="20"/>
        <v>6.9392410595933984E-2</v>
      </c>
      <c r="G41" s="2"/>
      <c r="H41" s="6">
        <v>35518.400000000001</v>
      </c>
      <c r="I41" s="2"/>
      <c r="J41" s="7">
        <f t="shared" si="21"/>
        <v>0.31321340388007057</v>
      </c>
      <c r="K41" s="2"/>
      <c r="L41" s="6">
        <f t="shared" si="22"/>
        <v>-20915.28</v>
      </c>
      <c r="M41" s="2"/>
      <c r="N41" s="7">
        <f t="shared" si="23"/>
        <v>-0.58885760619847738</v>
      </c>
      <c r="O41" s="11"/>
      <c r="P41" s="6">
        <v>21829.87</v>
      </c>
      <c r="Q41" s="2"/>
      <c r="R41" s="7">
        <f t="shared" si="24"/>
        <v>0.10373312705064816</v>
      </c>
      <c r="S41" s="2"/>
      <c r="T41" s="6">
        <v>77366.399999999994</v>
      </c>
      <c r="U41" s="2"/>
      <c r="V41" s="7">
        <f t="shared" si="25"/>
        <v>0.68224338624338621</v>
      </c>
      <c r="W41" s="2"/>
      <c r="X41" s="6">
        <f t="shared" si="26"/>
        <v>-55536.53</v>
      </c>
      <c r="Y41" s="2"/>
      <c r="Z41" s="7">
        <f t="shared" si="27"/>
        <v>-0.71783784692062713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1423.04</v>
      </c>
      <c r="E42" s="2"/>
      <c r="F42" s="7">
        <f t="shared" si="20"/>
        <v>6.7621286392522883E-3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1423.04</v>
      </c>
      <c r="M42" s="2"/>
      <c r="N42" s="7">
        <f t="shared" si="23"/>
        <v>0</v>
      </c>
      <c r="O42" s="11"/>
      <c r="P42" s="6">
        <v>1423.04</v>
      </c>
      <c r="Q42" s="2"/>
      <c r="R42" s="7">
        <f t="shared" si="24"/>
        <v>6.7621286392522883E-3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1423.04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6">
        <v>11190.15</v>
      </c>
      <c r="E44" s="2"/>
      <c r="F44" s="7">
        <f t="shared" si="20"/>
        <v>5.3174354756387029E-2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11190.15</v>
      </c>
      <c r="M44" s="2"/>
      <c r="N44" s="7">
        <f t="shared" si="23"/>
        <v>0</v>
      </c>
      <c r="O44" s="11"/>
      <c r="P44" s="6">
        <v>12609.15</v>
      </c>
      <c r="Q44" s="2"/>
      <c r="R44" s="7">
        <f t="shared" si="24"/>
        <v>5.9917285762612432E-2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12609.15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0"/>
        <v>0</v>
      </c>
      <c r="G45" s="2"/>
      <c r="H45" s="6">
        <v>14000</v>
      </c>
      <c r="I45" s="2"/>
      <c r="J45" s="7">
        <f t="shared" si="21"/>
        <v>0.12345679012345678</v>
      </c>
      <c r="K45" s="2"/>
      <c r="L45" s="6">
        <f t="shared" si="22"/>
        <v>-14000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14000</v>
      </c>
      <c r="U45" s="2"/>
      <c r="V45" s="7">
        <f t="shared" si="25"/>
        <v>0.12345679012345678</v>
      </c>
      <c r="W45" s="2"/>
      <c r="X45" s="6">
        <f t="shared" si="26"/>
        <v>-14000</v>
      </c>
      <c r="Y45" s="2"/>
      <c r="Z45" s="7">
        <f t="shared" si="27"/>
        <v>-1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3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624.66</v>
      </c>
      <c r="E48" s="1"/>
      <c r="F48" s="5">
        <f t="shared" ref="F48:F67" si="28">IF(D$12=0,0,D48/D$12)</f>
        <v>2.9683152095481046E-3</v>
      </c>
      <c r="G48" s="1"/>
      <c r="H48" s="1">
        <f>SUM(OSRRefH22_2x_0)</f>
        <v>600</v>
      </c>
      <c r="I48" s="1"/>
      <c r="J48" s="5">
        <f t="shared" ref="J48:J67" si="29">IF(H$12=0,0,H48/H$12)</f>
        <v>5.2910052910052907E-3</v>
      </c>
      <c r="K48" s="1"/>
      <c r="L48" s="1">
        <f t="shared" ref="L48:L67" si="30">+D48-H48</f>
        <v>24.659999999999968</v>
      </c>
      <c r="M48" s="1"/>
      <c r="N48" s="5">
        <f t="shared" ref="N48:N67" si="31">IF(H48=0,0,L48/H48)</f>
        <v>4.1099999999999949E-2</v>
      </c>
      <c r="O48" s="14"/>
      <c r="P48" s="1">
        <f>SUM(OSRRefP22_2x_0)</f>
        <v>664.97</v>
      </c>
      <c r="Q48" s="1"/>
      <c r="R48" s="5">
        <f t="shared" ref="R48:R67" si="32">IF(P$12=0,0,P48/P$12)</f>
        <v>3.1598638697742823E-3</v>
      </c>
      <c r="S48" s="1"/>
      <c r="T48" s="1">
        <f>SUM(OSRRefT22_2x_0)</f>
        <v>1200</v>
      </c>
      <c r="U48" s="1"/>
      <c r="V48" s="5">
        <f t="shared" ref="V48:V67" si="33">IF(T$12=0,0,T48/T$12)</f>
        <v>1.0582010582010581E-2</v>
      </c>
      <c r="W48" s="1"/>
      <c r="X48" s="1">
        <f t="shared" ref="X48:X67" si="34">+P48-T48</f>
        <v>-535.03</v>
      </c>
      <c r="Y48" s="1"/>
      <c r="Z48" s="5">
        <f t="shared" ref="Z48:Z67" si="35">IF(T48=0,0,X48/T48)</f>
        <v>-0.4458583333333333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624.66</v>
      </c>
      <c r="E49" s="2"/>
      <c r="F49" s="7">
        <f t="shared" si="28"/>
        <v>2.9683152095481046E-3</v>
      </c>
      <c r="G49" s="2"/>
      <c r="H49" s="6">
        <v>600</v>
      </c>
      <c r="I49" s="2"/>
      <c r="J49" s="7">
        <f t="shared" si="29"/>
        <v>5.2910052910052907E-3</v>
      </c>
      <c r="K49" s="2"/>
      <c r="L49" s="6">
        <f t="shared" si="30"/>
        <v>24.659999999999968</v>
      </c>
      <c r="M49" s="2"/>
      <c r="N49" s="7">
        <f t="shared" si="31"/>
        <v>4.1099999999999949E-2</v>
      </c>
      <c r="O49" s="11"/>
      <c r="P49" s="6">
        <v>664.97</v>
      </c>
      <c r="Q49" s="2"/>
      <c r="R49" s="7">
        <f t="shared" si="32"/>
        <v>3.1598638697742823E-3</v>
      </c>
      <c r="S49" s="2"/>
      <c r="T49" s="6">
        <v>1200</v>
      </c>
      <c r="U49" s="2"/>
      <c r="V49" s="7">
        <f t="shared" si="33"/>
        <v>1.0582010582010581E-2</v>
      </c>
      <c r="W49" s="2"/>
      <c r="X49" s="6">
        <f t="shared" si="34"/>
        <v>-535.03</v>
      </c>
      <c r="Y49" s="2"/>
      <c r="Z49" s="7">
        <f t="shared" si="35"/>
        <v>-0.4458583333333333</v>
      </c>
    </row>
    <row r="50" spans="1:26" s="28" customFormat="1" outlineLevel="1" collapsed="1" x14ac:dyDescent="0.3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15</v>
      </c>
      <c r="I50" s="1"/>
      <c r="J50" s="5">
        <f t="shared" si="29"/>
        <v>1.3227513227513228E-4</v>
      </c>
      <c r="K50" s="1"/>
      <c r="L50" s="1">
        <f t="shared" si="30"/>
        <v>-15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30</v>
      </c>
      <c r="U50" s="1"/>
      <c r="V50" s="5">
        <f t="shared" si="33"/>
        <v>2.6455026455026457E-4</v>
      </c>
      <c r="W50" s="1"/>
      <c r="X50" s="1">
        <f t="shared" si="34"/>
        <v>-30</v>
      </c>
      <c r="Y50" s="1"/>
      <c r="Z50" s="5">
        <f t="shared" si="35"/>
        <v>-1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15</v>
      </c>
      <c r="I51" s="2"/>
      <c r="J51" s="7">
        <f t="shared" si="29"/>
        <v>1.3227513227513228E-4</v>
      </c>
      <c r="K51" s="2"/>
      <c r="L51" s="6">
        <f t="shared" si="30"/>
        <v>-15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30</v>
      </c>
      <c r="U51" s="2"/>
      <c r="V51" s="7">
        <f t="shared" si="33"/>
        <v>2.6455026455026457E-4</v>
      </c>
      <c r="W51" s="2"/>
      <c r="X51" s="6">
        <f t="shared" si="34"/>
        <v>-30</v>
      </c>
      <c r="Y51" s="2"/>
      <c r="Z51" s="7">
        <f t="shared" si="35"/>
        <v>-1</v>
      </c>
    </row>
    <row r="52" spans="1:26" s="28" customFormat="1" outlineLevel="1" collapsed="1" x14ac:dyDescent="0.3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40.549999999999997</v>
      </c>
      <c r="E52" s="1"/>
      <c r="F52" s="5">
        <f t="shared" si="28"/>
        <v>1.926891136733193E-4</v>
      </c>
      <c r="G52" s="1"/>
      <c r="H52" s="1">
        <f>SUM(OSRRefH22_4x_0)</f>
        <v>250</v>
      </c>
      <c r="I52" s="1"/>
      <c r="J52" s="5">
        <f t="shared" si="29"/>
        <v>2.2045855379188711E-3</v>
      </c>
      <c r="K52" s="1"/>
      <c r="L52" s="1">
        <f t="shared" si="30"/>
        <v>-209.45</v>
      </c>
      <c r="M52" s="1"/>
      <c r="N52" s="5">
        <f t="shared" si="31"/>
        <v>-0.83779999999999999</v>
      </c>
      <c r="O52" s="14"/>
      <c r="P52" s="1">
        <f>SUM(OSRRefP22_4x_0)</f>
        <v>40.549999999999997</v>
      </c>
      <c r="Q52" s="1"/>
      <c r="R52" s="5">
        <f t="shared" si="32"/>
        <v>1.926891136733193E-4</v>
      </c>
      <c r="S52" s="1"/>
      <c r="T52" s="1">
        <f>SUM(OSRRefT22_4x_0)</f>
        <v>500</v>
      </c>
      <c r="U52" s="1"/>
      <c r="V52" s="5">
        <f t="shared" si="33"/>
        <v>4.4091710758377423E-3</v>
      </c>
      <c r="W52" s="1"/>
      <c r="X52" s="1">
        <f t="shared" si="34"/>
        <v>-459.45</v>
      </c>
      <c r="Y52" s="1"/>
      <c r="Z52" s="5">
        <f t="shared" si="35"/>
        <v>-0.91889999999999994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40.549999999999997</v>
      </c>
      <c r="E53" s="2"/>
      <c r="F53" s="7">
        <f t="shared" si="28"/>
        <v>1.926891136733193E-4</v>
      </c>
      <c r="G53" s="2"/>
      <c r="H53" s="6">
        <v>250</v>
      </c>
      <c r="I53" s="2"/>
      <c r="J53" s="7">
        <f t="shared" si="29"/>
        <v>2.2045855379188711E-3</v>
      </c>
      <c r="K53" s="2"/>
      <c r="L53" s="6">
        <f t="shared" si="30"/>
        <v>-209.45</v>
      </c>
      <c r="M53" s="2"/>
      <c r="N53" s="7">
        <f t="shared" si="31"/>
        <v>-0.83779999999999999</v>
      </c>
      <c r="O53" s="11"/>
      <c r="P53" s="6">
        <v>40.549999999999997</v>
      </c>
      <c r="Q53" s="2"/>
      <c r="R53" s="7">
        <f t="shared" si="32"/>
        <v>1.926891136733193E-4</v>
      </c>
      <c r="S53" s="2"/>
      <c r="T53" s="6">
        <v>500</v>
      </c>
      <c r="U53" s="2"/>
      <c r="V53" s="7">
        <f t="shared" si="33"/>
        <v>4.4091710758377423E-3</v>
      </c>
      <c r="W53" s="2"/>
      <c r="X53" s="6">
        <f t="shared" si="34"/>
        <v>-459.45</v>
      </c>
      <c r="Y53" s="2"/>
      <c r="Z53" s="7">
        <f t="shared" si="35"/>
        <v>-0.91889999999999994</v>
      </c>
    </row>
    <row r="54" spans="1:26" s="28" customFormat="1" outlineLevel="1" collapsed="1" x14ac:dyDescent="0.3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1.2996892596988795E-3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273.51</v>
      </c>
      <c r="M54" s="1"/>
      <c r="N54" s="5">
        <f t="shared" si="31"/>
        <v>0</v>
      </c>
      <c r="O54" s="14"/>
      <c r="P54" s="1">
        <f>SUM(OSRRefP22_5x_0)</f>
        <v>547.02</v>
      </c>
      <c r="Q54" s="1"/>
      <c r="R54" s="5">
        <f t="shared" si="32"/>
        <v>2.599378519397759E-3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547.02</v>
      </c>
      <c r="Y54" s="1"/>
      <c r="Z54" s="5">
        <f t="shared" si="35"/>
        <v>0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273.51</v>
      </c>
      <c r="E55" s="2"/>
      <c r="F55" s="7">
        <f t="shared" si="28"/>
        <v>1.2996892596988795E-3</v>
      </c>
      <c r="G55" s="2"/>
      <c r="H55" s="6"/>
      <c r="I55" s="2"/>
      <c r="J55" s="7">
        <f t="shared" si="29"/>
        <v>0</v>
      </c>
      <c r="K55" s="2"/>
      <c r="L55" s="6">
        <f t="shared" si="30"/>
        <v>273.51</v>
      </c>
      <c r="M55" s="2"/>
      <c r="N55" s="7">
        <f t="shared" si="31"/>
        <v>0</v>
      </c>
      <c r="O55" s="11"/>
      <c r="P55" s="6">
        <v>547.02</v>
      </c>
      <c r="Q55" s="2"/>
      <c r="R55" s="7">
        <f t="shared" si="32"/>
        <v>2.599378519397759E-3</v>
      </c>
      <c r="S55" s="2"/>
      <c r="T55" s="6"/>
      <c r="U55" s="2"/>
      <c r="V55" s="7">
        <f t="shared" si="33"/>
        <v>0</v>
      </c>
      <c r="W55" s="2"/>
      <c r="X55" s="6">
        <f t="shared" si="34"/>
        <v>547.02</v>
      </c>
      <c r="Y55" s="2"/>
      <c r="Z55" s="7">
        <f t="shared" si="35"/>
        <v>0</v>
      </c>
    </row>
    <row r="56" spans="1:26" s="28" customFormat="1" outlineLevel="1" collapsed="1" x14ac:dyDescent="0.3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2140.41</v>
      </c>
      <c r="E56" s="1"/>
      <c r="F56" s="5">
        <f t="shared" si="28"/>
        <v>1.0170991511652511E-2</v>
      </c>
      <c r="G56" s="1"/>
      <c r="H56" s="1">
        <f>SUM(OSRRefH22_6x_0)</f>
        <v>6000</v>
      </c>
      <c r="I56" s="1"/>
      <c r="J56" s="5">
        <f t="shared" si="29"/>
        <v>5.2910052910052907E-2</v>
      </c>
      <c r="K56" s="1"/>
      <c r="L56" s="1">
        <f t="shared" si="30"/>
        <v>-3859.59</v>
      </c>
      <c r="M56" s="1"/>
      <c r="N56" s="5">
        <f t="shared" si="31"/>
        <v>-0.64326499999999998</v>
      </c>
      <c r="O56" s="14"/>
      <c r="P56" s="1">
        <f>SUM(OSRRefP22_6x_0)</f>
        <v>2140.41</v>
      </c>
      <c r="Q56" s="1"/>
      <c r="R56" s="5">
        <f t="shared" si="32"/>
        <v>1.0170991511652511E-2</v>
      </c>
      <c r="S56" s="1"/>
      <c r="T56" s="1">
        <f>SUM(OSRRefT22_6x_0)</f>
        <v>6000</v>
      </c>
      <c r="U56" s="1"/>
      <c r="V56" s="5">
        <f t="shared" si="33"/>
        <v>5.2910052910052907E-2</v>
      </c>
      <c r="W56" s="1"/>
      <c r="X56" s="1">
        <f t="shared" si="34"/>
        <v>-3859.59</v>
      </c>
      <c r="Y56" s="1"/>
      <c r="Z56" s="5">
        <f t="shared" si="35"/>
        <v>-0.64326499999999998</v>
      </c>
    </row>
    <row r="57" spans="1:26" s="24" customFormat="1" hidden="1" outlineLevel="2" x14ac:dyDescent="0.3">
      <c r="A57" s="27"/>
      <c r="B57" s="11" t="str">
        <f>CONCATENATE("          ", "6399", " - ", "DONATION-ON CAMPUS")</f>
        <v xml:space="preserve">          6399 - DONATION-ON CAMPUS</v>
      </c>
      <c r="C57" s="11"/>
      <c r="D57" s="6">
        <v>2140.41</v>
      </c>
      <c r="E57" s="2"/>
      <c r="F57" s="7">
        <f t="shared" si="28"/>
        <v>1.0170991511652511E-2</v>
      </c>
      <c r="G57" s="2"/>
      <c r="H57" s="6">
        <v>6000</v>
      </c>
      <c r="I57" s="2"/>
      <c r="J57" s="7">
        <f t="shared" si="29"/>
        <v>5.2910052910052907E-2</v>
      </c>
      <c r="K57" s="2"/>
      <c r="L57" s="6">
        <f t="shared" si="30"/>
        <v>-3859.59</v>
      </c>
      <c r="M57" s="2"/>
      <c r="N57" s="7">
        <f t="shared" si="31"/>
        <v>-0.64326499999999998</v>
      </c>
      <c r="O57" s="11"/>
      <c r="P57" s="6">
        <v>2140.41</v>
      </c>
      <c r="Q57" s="2"/>
      <c r="R57" s="7">
        <f t="shared" si="32"/>
        <v>1.0170991511652511E-2</v>
      </c>
      <c r="S57" s="2"/>
      <c r="T57" s="6">
        <v>6000</v>
      </c>
      <c r="U57" s="2"/>
      <c r="V57" s="7">
        <f t="shared" si="33"/>
        <v>5.2910052910052907E-2</v>
      </c>
      <c r="W57" s="2"/>
      <c r="X57" s="6">
        <f t="shared" si="34"/>
        <v>-3859.59</v>
      </c>
      <c r="Y57" s="2"/>
      <c r="Z57" s="7">
        <f t="shared" si="35"/>
        <v>-0.64326499999999998</v>
      </c>
    </row>
    <row r="58" spans="1:26" s="28" customFormat="1" outlineLevel="1" collapsed="1" x14ac:dyDescent="0.3">
      <c r="A58" s="29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SUM(OSRRefD22_7x_0)</f>
        <v>3767.24</v>
      </c>
      <c r="E58" s="1"/>
      <c r="F58" s="5">
        <f t="shared" si="28"/>
        <v>1.7901507684209009E-2</v>
      </c>
      <c r="G58" s="1"/>
      <c r="H58" s="1">
        <f>SUM(OSRRefH22_7x_0)</f>
        <v>500</v>
      </c>
      <c r="I58" s="1"/>
      <c r="J58" s="5">
        <f t="shared" si="29"/>
        <v>4.4091710758377423E-3</v>
      </c>
      <c r="K58" s="1"/>
      <c r="L58" s="1">
        <f t="shared" si="30"/>
        <v>3267.24</v>
      </c>
      <c r="M58" s="1"/>
      <c r="N58" s="5">
        <f t="shared" si="31"/>
        <v>6.5344799999999994</v>
      </c>
      <c r="O58" s="14"/>
      <c r="P58" s="1">
        <f>SUM(OSRRefP22_7x_0)</f>
        <v>4197.67</v>
      </c>
      <c r="Q58" s="1"/>
      <c r="R58" s="5">
        <f t="shared" si="32"/>
        <v>1.9946863422764052E-2</v>
      </c>
      <c r="S58" s="1"/>
      <c r="T58" s="1">
        <f>SUM(OSRRefT22_7x_0)</f>
        <v>1000</v>
      </c>
      <c r="U58" s="1"/>
      <c r="V58" s="5">
        <f t="shared" si="33"/>
        <v>8.8183421516754845E-3</v>
      </c>
      <c r="W58" s="1"/>
      <c r="X58" s="1">
        <f t="shared" si="34"/>
        <v>3197.67</v>
      </c>
      <c r="Y58" s="1"/>
      <c r="Z58" s="5">
        <f t="shared" si="35"/>
        <v>3.19767</v>
      </c>
    </row>
    <row r="59" spans="1:26" s="24" customFormat="1" hidden="1" outlineLevel="2" x14ac:dyDescent="0.3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3767.24</v>
      </c>
      <c r="E59" s="2"/>
      <c r="F59" s="7">
        <f t="shared" si="28"/>
        <v>1.7901507684209009E-2</v>
      </c>
      <c r="G59" s="2"/>
      <c r="H59" s="6">
        <v>500</v>
      </c>
      <c r="I59" s="2"/>
      <c r="J59" s="7">
        <f t="shared" si="29"/>
        <v>4.4091710758377423E-3</v>
      </c>
      <c r="K59" s="2"/>
      <c r="L59" s="6">
        <f t="shared" si="30"/>
        <v>3267.24</v>
      </c>
      <c r="M59" s="2"/>
      <c r="N59" s="7">
        <f t="shared" si="31"/>
        <v>6.5344799999999994</v>
      </c>
      <c r="O59" s="11"/>
      <c r="P59" s="6">
        <v>4197.67</v>
      </c>
      <c r="Q59" s="2"/>
      <c r="R59" s="7">
        <f t="shared" si="32"/>
        <v>1.9946863422764052E-2</v>
      </c>
      <c r="S59" s="2"/>
      <c r="T59" s="6">
        <v>1000</v>
      </c>
      <c r="U59" s="2"/>
      <c r="V59" s="7">
        <f t="shared" si="33"/>
        <v>8.8183421516754845E-3</v>
      </c>
      <c r="W59" s="2"/>
      <c r="X59" s="6">
        <f t="shared" si="34"/>
        <v>3197.67</v>
      </c>
      <c r="Y59" s="2"/>
      <c r="Z59" s="7">
        <f t="shared" si="35"/>
        <v>3.19767</v>
      </c>
    </row>
    <row r="60" spans="1:26" s="28" customFormat="1" outlineLevel="1" collapsed="1" x14ac:dyDescent="0.3">
      <c r="A60" s="29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2334.5500000000002</v>
      </c>
      <c r="E60" s="1"/>
      <c r="F60" s="5">
        <f t="shared" si="28"/>
        <v>1.1093523312602901E-2</v>
      </c>
      <c r="G60" s="1"/>
      <c r="H60" s="1">
        <f>SUM(OSRRefH22_8x_0)</f>
        <v>150</v>
      </c>
      <c r="I60" s="1"/>
      <c r="J60" s="5">
        <f t="shared" si="29"/>
        <v>1.3227513227513227E-3</v>
      </c>
      <c r="K60" s="1"/>
      <c r="L60" s="1">
        <f t="shared" si="30"/>
        <v>2184.5500000000002</v>
      </c>
      <c r="M60" s="1"/>
      <c r="N60" s="5">
        <f t="shared" si="31"/>
        <v>14.563666666666668</v>
      </c>
      <c r="O60" s="14"/>
      <c r="P60" s="1">
        <f>SUM(OSRRefP22_8x_0)</f>
        <v>2404.62</v>
      </c>
      <c r="Q60" s="1"/>
      <c r="R60" s="5">
        <f t="shared" si="32"/>
        <v>1.142648820027465E-2</v>
      </c>
      <c r="S60" s="1"/>
      <c r="T60" s="1">
        <f>SUM(OSRRefT22_8x_0)</f>
        <v>1950</v>
      </c>
      <c r="U60" s="1"/>
      <c r="V60" s="5">
        <f t="shared" si="33"/>
        <v>1.7195767195767195E-2</v>
      </c>
      <c r="W60" s="1"/>
      <c r="X60" s="1">
        <f t="shared" si="34"/>
        <v>454.61999999999989</v>
      </c>
      <c r="Y60" s="1"/>
      <c r="Z60" s="5">
        <f t="shared" si="35"/>
        <v>0.23313846153846149</v>
      </c>
    </row>
    <row r="61" spans="1:26" s="24" customFormat="1" hidden="1" outlineLevel="2" x14ac:dyDescent="0.3">
      <c r="A61" s="27"/>
      <c r="B61" s="11" t="str">
        <f>CONCATENATE("          ", "6279", " - ", "GENERAL EXPENSE")</f>
        <v xml:space="preserve">          6279 - GENERAL EXPENSE</v>
      </c>
      <c r="C61" s="11"/>
      <c r="D61" s="6">
        <v>2334.5500000000002</v>
      </c>
      <c r="E61" s="2"/>
      <c r="F61" s="7">
        <f t="shared" si="28"/>
        <v>1.1093523312602901E-2</v>
      </c>
      <c r="G61" s="2"/>
      <c r="H61" s="6">
        <v>150</v>
      </c>
      <c r="I61" s="2"/>
      <c r="J61" s="7">
        <f t="shared" si="29"/>
        <v>1.3227513227513227E-3</v>
      </c>
      <c r="K61" s="2"/>
      <c r="L61" s="6">
        <f t="shared" si="30"/>
        <v>2184.5500000000002</v>
      </c>
      <c r="M61" s="2"/>
      <c r="N61" s="7">
        <f t="shared" si="31"/>
        <v>14.563666666666668</v>
      </c>
      <c r="O61" s="11"/>
      <c r="P61" s="6">
        <v>2404.62</v>
      </c>
      <c r="Q61" s="2"/>
      <c r="R61" s="7">
        <f t="shared" si="32"/>
        <v>1.142648820027465E-2</v>
      </c>
      <c r="S61" s="2"/>
      <c r="T61" s="6">
        <v>1950</v>
      </c>
      <c r="U61" s="2"/>
      <c r="V61" s="7">
        <f t="shared" si="33"/>
        <v>1.7195767195767195E-2</v>
      </c>
      <c r="W61" s="2"/>
      <c r="X61" s="6">
        <f t="shared" si="34"/>
        <v>454.61999999999989</v>
      </c>
      <c r="Y61" s="2"/>
      <c r="Z61" s="7">
        <f t="shared" si="35"/>
        <v>0.23313846153846149</v>
      </c>
    </row>
    <row r="62" spans="1:26" s="28" customFormat="1" outlineLevel="1" collapsed="1" x14ac:dyDescent="0.3">
      <c r="A62" s="29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SUM(OSRRefD22_9x_0)</f>
        <v>16664.169999999998</v>
      </c>
      <c r="E62" s="1"/>
      <c r="F62" s="5">
        <f t="shared" si="28"/>
        <v>7.9186292167731612E-2</v>
      </c>
      <c r="G62" s="1"/>
      <c r="H62" s="1">
        <f>SUM(OSRRefH22_9x_0)</f>
        <v>9072</v>
      </c>
      <c r="I62" s="1"/>
      <c r="J62" s="5">
        <f t="shared" si="29"/>
        <v>0.08</v>
      </c>
      <c r="K62" s="1"/>
      <c r="L62" s="1">
        <f t="shared" si="30"/>
        <v>7592.1699999999983</v>
      </c>
      <c r="M62" s="1"/>
      <c r="N62" s="5">
        <f t="shared" si="31"/>
        <v>0.83687940917107562</v>
      </c>
      <c r="O62" s="14"/>
      <c r="P62" s="1">
        <f>SUM(OSRRefP22_9x_0)</f>
        <v>16664.169999999998</v>
      </c>
      <c r="Q62" s="1"/>
      <c r="R62" s="5">
        <f t="shared" si="32"/>
        <v>7.9186292167731612E-2</v>
      </c>
      <c r="S62" s="1"/>
      <c r="T62" s="1">
        <f>SUM(OSRRefT22_9x_0)</f>
        <v>9072</v>
      </c>
      <c r="U62" s="1"/>
      <c r="V62" s="5">
        <f t="shared" si="33"/>
        <v>0.08</v>
      </c>
      <c r="W62" s="1"/>
      <c r="X62" s="1">
        <f t="shared" si="34"/>
        <v>7592.1699999999983</v>
      </c>
      <c r="Y62" s="1"/>
      <c r="Z62" s="5">
        <f t="shared" si="35"/>
        <v>0.83687940917107562</v>
      </c>
    </row>
    <row r="63" spans="1:26" s="24" customFormat="1" hidden="1" outlineLevel="2" x14ac:dyDescent="0.3">
      <c r="A63" s="27"/>
      <c r="B63" s="11" t="str">
        <f>CONCATENATE("          ", "6387", " - ", "COMMISSION DUE HOUSING")</f>
        <v xml:space="preserve">          6387 - COMMISSION DUE HOUSING</v>
      </c>
      <c r="C63" s="11"/>
      <c r="D63" s="6">
        <v>16664.169999999998</v>
      </c>
      <c r="E63" s="2"/>
      <c r="F63" s="7">
        <f t="shared" si="28"/>
        <v>7.9186292167731612E-2</v>
      </c>
      <c r="G63" s="2"/>
      <c r="H63" s="6">
        <v>9072</v>
      </c>
      <c r="I63" s="2"/>
      <c r="J63" s="7">
        <f t="shared" si="29"/>
        <v>0.08</v>
      </c>
      <c r="K63" s="2"/>
      <c r="L63" s="6">
        <f t="shared" si="30"/>
        <v>7592.1699999999983</v>
      </c>
      <c r="M63" s="2"/>
      <c r="N63" s="7">
        <f t="shared" si="31"/>
        <v>0.83687940917107562</v>
      </c>
      <c r="O63" s="11"/>
      <c r="P63" s="6">
        <v>16664.169999999998</v>
      </c>
      <c r="Q63" s="2"/>
      <c r="R63" s="7">
        <f t="shared" si="32"/>
        <v>7.9186292167731612E-2</v>
      </c>
      <c r="S63" s="2"/>
      <c r="T63" s="6">
        <v>9072</v>
      </c>
      <c r="U63" s="2"/>
      <c r="V63" s="7">
        <f t="shared" si="33"/>
        <v>0.08</v>
      </c>
      <c r="W63" s="2"/>
      <c r="X63" s="6">
        <f t="shared" si="34"/>
        <v>7592.1699999999983</v>
      </c>
      <c r="Y63" s="2"/>
      <c r="Z63" s="7">
        <f t="shared" si="35"/>
        <v>0.83687940917107562</v>
      </c>
    </row>
    <row r="64" spans="1:26" s="28" customFormat="1" outlineLevel="1" collapsed="1" x14ac:dyDescent="0.3">
      <c r="A64" s="29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0</v>
      </c>
      <c r="E64" s="1"/>
      <c r="F64" s="5">
        <f t="shared" si="28"/>
        <v>0</v>
      </c>
      <c r="G64" s="1"/>
      <c r="H64" s="1">
        <f>SUM(OSRRefH22_10x_0)</f>
        <v>2050</v>
      </c>
      <c r="I64" s="1"/>
      <c r="J64" s="5">
        <f t="shared" si="29"/>
        <v>1.8077601410934743E-2</v>
      </c>
      <c r="K64" s="1"/>
      <c r="L64" s="1">
        <f t="shared" si="30"/>
        <v>-2050</v>
      </c>
      <c r="M64" s="1"/>
      <c r="N64" s="5">
        <f t="shared" si="31"/>
        <v>-1</v>
      </c>
      <c r="O64" s="14"/>
      <c r="P64" s="1">
        <f>SUM(OSRRefP22_10x_0)</f>
        <v>0</v>
      </c>
      <c r="Q64" s="1"/>
      <c r="R64" s="5">
        <f t="shared" si="32"/>
        <v>0</v>
      </c>
      <c r="S64" s="1"/>
      <c r="T64" s="1">
        <f>SUM(OSRRefT22_10x_0)</f>
        <v>2300</v>
      </c>
      <c r="U64" s="1"/>
      <c r="V64" s="5">
        <f t="shared" si="33"/>
        <v>2.0282186948853614E-2</v>
      </c>
      <c r="W64" s="1"/>
      <c r="X64" s="1">
        <f t="shared" si="34"/>
        <v>-2300</v>
      </c>
      <c r="Y64" s="1"/>
      <c r="Z64" s="5">
        <f t="shared" si="35"/>
        <v>-1</v>
      </c>
    </row>
    <row r="65" spans="1:26" s="24" customFormat="1" hidden="1" outlineLevel="2" x14ac:dyDescent="0.3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28"/>
        <v>0</v>
      </c>
      <c r="G65" s="2"/>
      <c r="H65" s="6">
        <v>0</v>
      </c>
      <c r="I65" s="2"/>
      <c r="J65" s="7">
        <f t="shared" si="29"/>
        <v>0</v>
      </c>
      <c r="K65" s="2"/>
      <c r="L65" s="6">
        <f t="shared" si="30"/>
        <v>0</v>
      </c>
      <c r="M65" s="2"/>
      <c r="N65" s="7">
        <f t="shared" si="31"/>
        <v>0</v>
      </c>
      <c r="O65" s="11"/>
      <c r="P65" s="6"/>
      <c r="Q65" s="2"/>
      <c r="R65" s="7">
        <f t="shared" si="32"/>
        <v>0</v>
      </c>
      <c r="S65" s="2"/>
      <c r="T65" s="6">
        <v>0</v>
      </c>
      <c r="U65" s="2"/>
      <c r="V65" s="7">
        <f t="shared" si="33"/>
        <v>0</v>
      </c>
      <c r="W65" s="2"/>
      <c r="X65" s="6">
        <f t="shared" si="34"/>
        <v>0</v>
      </c>
      <c r="Y65" s="2"/>
      <c r="Z65" s="7">
        <f t="shared" si="35"/>
        <v>0</v>
      </c>
    </row>
    <row r="66" spans="1:26" s="24" customFormat="1" hidden="1" outlineLevel="2" x14ac:dyDescent="0.3">
      <c r="A66" s="27"/>
      <c r="B66" s="11" t="str">
        <f>CONCATENATE("          ", "6373", " - ", "MAINTENANCE CONTRACTS")</f>
        <v xml:space="preserve">          6373 - MAINTENANCE CONTRACTS</v>
      </c>
      <c r="C66" s="11"/>
      <c r="D66" s="6"/>
      <c r="E66" s="2"/>
      <c r="F66" s="7">
        <f t="shared" si="28"/>
        <v>0</v>
      </c>
      <c r="G66" s="2"/>
      <c r="H66" s="6">
        <v>1800</v>
      </c>
      <c r="I66" s="2"/>
      <c r="J66" s="7">
        <f t="shared" si="29"/>
        <v>1.5873015873015872E-2</v>
      </c>
      <c r="K66" s="2"/>
      <c r="L66" s="6">
        <f t="shared" si="30"/>
        <v>-1800</v>
      </c>
      <c r="M66" s="2"/>
      <c r="N66" s="7">
        <f t="shared" si="31"/>
        <v>-1</v>
      </c>
      <c r="O66" s="11"/>
      <c r="P66" s="6"/>
      <c r="Q66" s="2"/>
      <c r="R66" s="7">
        <f t="shared" si="32"/>
        <v>0</v>
      </c>
      <c r="S66" s="2"/>
      <c r="T66" s="6">
        <v>1800</v>
      </c>
      <c r="U66" s="2"/>
      <c r="V66" s="7">
        <f t="shared" si="33"/>
        <v>1.5873015873015872E-2</v>
      </c>
      <c r="W66" s="2"/>
      <c r="X66" s="6">
        <f t="shared" si="34"/>
        <v>-1800</v>
      </c>
      <c r="Y66" s="2"/>
      <c r="Z66" s="7">
        <f t="shared" si="35"/>
        <v>-1</v>
      </c>
    </row>
    <row r="67" spans="1:26" s="24" customFormat="1" hidden="1" outlineLevel="2" x14ac:dyDescent="0.3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28"/>
        <v>0</v>
      </c>
      <c r="G67" s="2"/>
      <c r="H67" s="6">
        <v>250</v>
      </c>
      <c r="I67" s="2"/>
      <c r="J67" s="7">
        <f t="shared" si="29"/>
        <v>2.2045855379188711E-3</v>
      </c>
      <c r="K67" s="2"/>
      <c r="L67" s="6">
        <f t="shared" si="30"/>
        <v>-250</v>
      </c>
      <c r="M67" s="2"/>
      <c r="N67" s="7">
        <f t="shared" si="31"/>
        <v>-1</v>
      </c>
      <c r="O67" s="11"/>
      <c r="P67" s="6"/>
      <c r="Q67" s="2"/>
      <c r="R67" s="7">
        <f t="shared" si="32"/>
        <v>0</v>
      </c>
      <c r="S67" s="2"/>
      <c r="T67" s="6">
        <v>500</v>
      </c>
      <c r="U67" s="2"/>
      <c r="V67" s="7">
        <f t="shared" si="33"/>
        <v>4.4091710758377423E-3</v>
      </c>
      <c r="W67" s="2"/>
      <c r="X67" s="6">
        <f t="shared" si="34"/>
        <v>-500</v>
      </c>
      <c r="Y67" s="2"/>
      <c r="Z67" s="7">
        <f t="shared" si="35"/>
        <v>-1</v>
      </c>
    </row>
    <row r="68" spans="1:26" s="28" customFormat="1" outlineLevel="1" collapsed="1" x14ac:dyDescent="0.3">
      <c r="A68" s="29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SUM(OSRRefD22_11x_0)</f>
        <v>5570.37</v>
      </c>
      <c r="E68" s="1"/>
      <c r="F68" s="5">
        <f t="shared" ref="F68:F72" si="36">IF(D$12=0,0,D68/D$12)</f>
        <v>2.6469781951478363E-2</v>
      </c>
      <c r="G68" s="1"/>
      <c r="H68" s="1">
        <f>SUM(OSRRefH22_11x_0)</f>
        <v>7150</v>
      </c>
      <c r="I68" s="1"/>
      <c r="J68" s="5">
        <f t="shared" ref="J68:J72" si="37">IF(H$12=0,0,H68/H$12)</f>
        <v>6.3051146384479714E-2</v>
      </c>
      <c r="K68" s="1"/>
      <c r="L68" s="1">
        <f t="shared" ref="L68:L72" si="38">+D68-H68</f>
        <v>-1579.63</v>
      </c>
      <c r="M68" s="1"/>
      <c r="N68" s="5">
        <f t="shared" ref="N68:N72" si="39">IF(H68=0,0,L68/H68)</f>
        <v>-0.22092727272727275</v>
      </c>
      <c r="O68" s="14"/>
      <c r="P68" s="1">
        <f>SUM(OSRRefP22_11x_0)</f>
        <v>10416.75</v>
      </c>
      <c r="Q68" s="1"/>
      <c r="R68" s="5">
        <f t="shared" ref="R68:R72" si="40">IF(P$12=0,0,P68/P$12)</f>
        <v>4.9499243522972844E-2</v>
      </c>
      <c r="S68" s="1"/>
      <c r="T68" s="1">
        <f>SUM(OSRRefT22_11x_0)</f>
        <v>14300</v>
      </c>
      <c r="U68" s="1"/>
      <c r="V68" s="5">
        <f t="shared" ref="V68:V72" si="41">IF(T$12=0,0,T68/T$12)</f>
        <v>0.12610229276895943</v>
      </c>
      <c r="W68" s="1"/>
      <c r="X68" s="1">
        <f t="shared" ref="X68:X72" si="42">+P68-T68</f>
        <v>-3883.25</v>
      </c>
      <c r="Y68" s="1"/>
      <c r="Z68" s="5">
        <f t="shared" ref="Z68:Z72" si="43">IF(T68=0,0,X68/T68)</f>
        <v>-0.27155594405594408</v>
      </c>
    </row>
    <row r="69" spans="1:26" s="24" customFormat="1" hidden="1" outlineLevel="2" x14ac:dyDescent="0.3">
      <c r="A69" s="27"/>
      <c r="B69" s="11" t="str">
        <f>CONCATENATE("          ", "6282", " - ", "JANITORIAL/EXTERMINATOR EXPENS")</f>
        <v xml:space="preserve">          6282 - JANITORIAL/EXTERMINATOR EXPENS</v>
      </c>
      <c r="C69" s="11"/>
      <c r="D69" s="6"/>
      <c r="E69" s="2"/>
      <c r="F69" s="7">
        <f t="shared" si="36"/>
        <v>0</v>
      </c>
      <c r="G69" s="2"/>
      <c r="H69" s="6">
        <v>450</v>
      </c>
      <c r="I69" s="2"/>
      <c r="J69" s="7">
        <f t="shared" si="37"/>
        <v>3.968253968253968E-3</v>
      </c>
      <c r="K69" s="2"/>
      <c r="L69" s="6">
        <f t="shared" si="38"/>
        <v>-450</v>
      </c>
      <c r="M69" s="2"/>
      <c r="N69" s="7">
        <f t="shared" si="39"/>
        <v>-1</v>
      </c>
      <c r="O69" s="11"/>
      <c r="P69" s="6">
        <v>417.52</v>
      </c>
      <c r="Q69" s="2"/>
      <c r="R69" s="7">
        <f t="shared" si="40"/>
        <v>1.9840088468775405E-3</v>
      </c>
      <c r="S69" s="2"/>
      <c r="T69" s="6">
        <v>900</v>
      </c>
      <c r="U69" s="2"/>
      <c r="V69" s="7">
        <f t="shared" si="41"/>
        <v>7.9365079365079361E-3</v>
      </c>
      <c r="W69" s="2"/>
      <c r="X69" s="6">
        <f t="shared" si="42"/>
        <v>-482.48</v>
      </c>
      <c r="Y69" s="2"/>
      <c r="Z69" s="7">
        <f t="shared" si="43"/>
        <v>-0.53608888888888895</v>
      </c>
    </row>
    <row r="70" spans="1:26" s="24" customFormat="1" hidden="1" outlineLevel="2" x14ac:dyDescent="0.3">
      <c r="A70" s="27"/>
      <c r="B70" s="11" t="str">
        <f>CONCATENATE("          ", "6284", " - ", "TRASH REMOVAL EXPENSE")</f>
        <v xml:space="preserve">          6284 - TRASH REMOVAL EXPENSE</v>
      </c>
      <c r="C70" s="11"/>
      <c r="D70" s="6"/>
      <c r="E70" s="2"/>
      <c r="F70" s="7">
        <f t="shared" si="36"/>
        <v>0</v>
      </c>
      <c r="G70" s="2"/>
      <c r="H70" s="6">
        <v>500</v>
      </c>
      <c r="I70" s="2"/>
      <c r="J70" s="7">
        <f t="shared" si="37"/>
        <v>4.4091710758377423E-3</v>
      </c>
      <c r="K70" s="2"/>
      <c r="L70" s="6">
        <f t="shared" si="38"/>
        <v>-500</v>
      </c>
      <c r="M70" s="2"/>
      <c r="N70" s="7">
        <f t="shared" si="39"/>
        <v>-1</v>
      </c>
      <c r="O70" s="11"/>
      <c r="P70" s="6"/>
      <c r="Q70" s="2"/>
      <c r="R70" s="7">
        <f t="shared" si="40"/>
        <v>0</v>
      </c>
      <c r="S70" s="2"/>
      <c r="T70" s="6">
        <v>1000</v>
      </c>
      <c r="U70" s="2"/>
      <c r="V70" s="7">
        <f t="shared" si="41"/>
        <v>8.8183421516754845E-3</v>
      </c>
      <c r="W70" s="2"/>
      <c r="X70" s="6">
        <f t="shared" si="42"/>
        <v>-1000</v>
      </c>
      <c r="Y70" s="2"/>
      <c r="Z70" s="7">
        <f t="shared" si="43"/>
        <v>-1</v>
      </c>
    </row>
    <row r="71" spans="1:26" s="24" customFormat="1" hidden="1" outlineLevel="2" x14ac:dyDescent="0.3">
      <c r="A71" s="27"/>
      <c r="B71" s="11" t="str">
        <f>CONCATENATE("          ", "6285", " - ", "JANITORIAL SERVICES")</f>
        <v xml:space="preserve">          6285 - JANITORIAL SERVICES</v>
      </c>
      <c r="C71" s="11"/>
      <c r="D71" s="6">
        <v>4428.8599999999997</v>
      </c>
      <c r="E71" s="2"/>
      <c r="F71" s="7">
        <f t="shared" si="36"/>
        <v>2.1045452724616939E-2</v>
      </c>
      <c r="G71" s="2"/>
      <c r="H71" s="6">
        <v>4700</v>
      </c>
      <c r="I71" s="2"/>
      <c r="J71" s="7">
        <f t="shared" si="37"/>
        <v>4.1446208112874777E-2</v>
      </c>
      <c r="K71" s="2"/>
      <c r="L71" s="6">
        <f t="shared" si="38"/>
        <v>-271.14000000000033</v>
      </c>
      <c r="M71" s="2"/>
      <c r="N71" s="7">
        <f t="shared" si="39"/>
        <v>-5.7689361702127732E-2</v>
      </c>
      <c r="O71" s="11"/>
      <c r="P71" s="6">
        <v>8857.7199999999993</v>
      </c>
      <c r="Q71" s="2"/>
      <c r="R71" s="7">
        <f t="shared" si="40"/>
        <v>4.2090905449233877E-2</v>
      </c>
      <c r="S71" s="2"/>
      <c r="T71" s="6">
        <v>9400</v>
      </c>
      <c r="U71" s="2"/>
      <c r="V71" s="7">
        <f t="shared" si="41"/>
        <v>8.2892416225749554E-2</v>
      </c>
      <c r="W71" s="2"/>
      <c r="X71" s="6">
        <f t="shared" si="42"/>
        <v>-542.28000000000065</v>
      </c>
      <c r="Y71" s="2"/>
      <c r="Z71" s="7">
        <f t="shared" si="43"/>
        <v>-5.7689361702127732E-2</v>
      </c>
    </row>
    <row r="72" spans="1:26" s="24" customFormat="1" hidden="1" outlineLevel="2" x14ac:dyDescent="0.3">
      <c r="A72" s="27"/>
      <c r="B72" s="11" t="str">
        <f>CONCATENATE("          ", "6286", " - ", "LAUNDRY EXPENSE")</f>
        <v xml:space="preserve">          6286 - LAUNDRY EXPENSE</v>
      </c>
      <c r="C72" s="11"/>
      <c r="D72" s="6">
        <v>1141.51</v>
      </c>
      <c r="E72" s="2"/>
      <c r="F72" s="7">
        <f t="shared" si="36"/>
        <v>5.4243292268614232E-3</v>
      </c>
      <c r="G72" s="2"/>
      <c r="H72" s="6">
        <v>1500</v>
      </c>
      <c r="I72" s="2"/>
      <c r="J72" s="7">
        <f t="shared" si="37"/>
        <v>1.3227513227513227E-2</v>
      </c>
      <c r="K72" s="2"/>
      <c r="L72" s="6">
        <f t="shared" si="38"/>
        <v>-358.49</v>
      </c>
      <c r="M72" s="2"/>
      <c r="N72" s="7">
        <f t="shared" si="39"/>
        <v>-0.23899333333333334</v>
      </c>
      <c r="O72" s="11"/>
      <c r="P72" s="6">
        <v>1141.51</v>
      </c>
      <c r="Q72" s="2"/>
      <c r="R72" s="7">
        <f t="shared" si="40"/>
        <v>5.4243292268614232E-3</v>
      </c>
      <c r="S72" s="2"/>
      <c r="T72" s="6">
        <v>3000</v>
      </c>
      <c r="U72" s="2"/>
      <c r="V72" s="7">
        <f t="shared" si="41"/>
        <v>2.6455026455026454E-2</v>
      </c>
      <c r="W72" s="2"/>
      <c r="X72" s="6">
        <f t="shared" si="42"/>
        <v>-1858.49</v>
      </c>
      <c r="Y72" s="2"/>
      <c r="Z72" s="7">
        <f t="shared" si="43"/>
        <v>-0.6194966666666667</v>
      </c>
    </row>
    <row r="73" spans="1:26" s="28" customFormat="1" outlineLevel="1" collapsed="1" x14ac:dyDescent="0.3">
      <c r="A73" s="29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SUM(OSRRefD22_12x_0)</f>
        <v>4110.21</v>
      </c>
      <c r="E73" s="1"/>
      <c r="F73" s="5">
        <f t="shared" ref="F73:F79" si="44">IF(D$12=0,0,D73/D$12)</f>
        <v>1.9531263179068156E-2</v>
      </c>
      <c r="G73" s="1"/>
      <c r="H73" s="1">
        <f>SUM(OSRRefH22_12x_0)</f>
        <v>11396</v>
      </c>
      <c r="I73" s="1"/>
      <c r="J73" s="5">
        <f t="shared" ref="J73:J79" si="45">IF(H$12=0,0,H73/H$12)</f>
        <v>0.10049382716049382</v>
      </c>
      <c r="K73" s="1"/>
      <c r="L73" s="1">
        <f t="shared" ref="L73:L79" si="46">+D73-H73</f>
        <v>-7285.79</v>
      </c>
      <c r="M73" s="1"/>
      <c r="N73" s="5">
        <f t="shared" ref="N73:N79" si="47">IF(H73=0,0,L73/H73)</f>
        <v>-0.63932871182871187</v>
      </c>
      <c r="O73" s="14"/>
      <c r="P73" s="1">
        <f>SUM(OSRRefP22_12x_0)</f>
        <v>4114.71</v>
      </c>
      <c r="Q73" s="1"/>
      <c r="R73" s="5">
        <f t="shared" ref="R73:R79" si="48">IF(P$12=0,0,P73/P$12)</f>
        <v>1.9552646681202063E-2</v>
      </c>
      <c r="S73" s="1"/>
      <c r="T73" s="1">
        <f>SUM(OSRRefT22_12x_0)</f>
        <v>22792</v>
      </c>
      <c r="U73" s="1"/>
      <c r="V73" s="5">
        <f t="shared" ref="V73:V79" si="49">IF(T$12=0,0,T73/T$12)</f>
        <v>0.20098765432098764</v>
      </c>
      <c r="W73" s="1"/>
      <c r="X73" s="1">
        <f t="shared" ref="X73:X79" si="50">+P73-T73</f>
        <v>-18677.29</v>
      </c>
      <c r="Y73" s="1"/>
      <c r="Z73" s="5">
        <f t="shared" ref="Z73:Z79" si="51">IF(T73=0,0,X73/T73)</f>
        <v>-0.81946691821691831</v>
      </c>
    </row>
    <row r="74" spans="1:26" s="24" customFormat="1" hidden="1" outlineLevel="2" x14ac:dyDescent="0.3">
      <c r="A74" s="27"/>
      <c r="B74" s="11" t="str">
        <f>CONCATENATE("          ", "6237", " - ", "JANITORIAL SUPPLIES")</f>
        <v xml:space="preserve">          6237 - JANITORIAL SUPPLIES</v>
      </c>
      <c r="C74" s="11"/>
      <c r="D74" s="6">
        <v>903.33</v>
      </c>
      <c r="E74" s="2"/>
      <c r="F74" s="7">
        <f t="shared" si="44"/>
        <v>4.2925242183605309E-3</v>
      </c>
      <c r="G74" s="2"/>
      <c r="H74" s="6">
        <v>4000</v>
      </c>
      <c r="I74" s="2"/>
      <c r="J74" s="7">
        <f t="shared" si="45"/>
        <v>3.5273368606701938E-2</v>
      </c>
      <c r="K74" s="2"/>
      <c r="L74" s="6">
        <f t="shared" si="46"/>
        <v>-3096.67</v>
      </c>
      <c r="M74" s="2"/>
      <c r="N74" s="7">
        <f t="shared" si="47"/>
        <v>-0.77416750000000001</v>
      </c>
      <c r="O74" s="11"/>
      <c r="P74" s="6">
        <v>903.33</v>
      </c>
      <c r="Q74" s="2"/>
      <c r="R74" s="7">
        <f t="shared" si="48"/>
        <v>4.2925242183605309E-3</v>
      </c>
      <c r="S74" s="2"/>
      <c r="T74" s="6">
        <v>8000</v>
      </c>
      <c r="U74" s="2"/>
      <c r="V74" s="7">
        <f t="shared" si="49"/>
        <v>7.0546737213403876E-2</v>
      </c>
      <c r="W74" s="2"/>
      <c r="X74" s="6">
        <f t="shared" si="50"/>
        <v>-7096.67</v>
      </c>
      <c r="Y74" s="2"/>
      <c r="Z74" s="7">
        <f t="shared" si="51"/>
        <v>-0.88708375000000006</v>
      </c>
    </row>
    <row r="75" spans="1:26" s="24" customFormat="1" hidden="1" outlineLevel="2" x14ac:dyDescent="0.3">
      <c r="A75" s="27"/>
      <c r="B75" s="11" t="str">
        <f>CONCATENATE("          ", "6239", " - ", "KITCHEN SUPPLIES")</f>
        <v xml:space="preserve">          6239 - KITCHEN SUPPLIES</v>
      </c>
      <c r="C75" s="11"/>
      <c r="D75" s="6">
        <v>400.56</v>
      </c>
      <c r="E75" s="2"/>
      <c r="F75" s="7">
        <f t="shared" si="44"/>
        <v>1.903416803279526E-3</v>
      </c>
      <c r="G75" s="2"/>
      <c r="H75" s="6">
        <v>1500</v>
      </c>
      <c r="I75" s="2"/>
      <c r="J75" s="7">
        <f t="shared" si="45"/>
        <v>1.3227513227513227E-2</v>
      </c>
      <c r="K75" s="2"/>
      <c r="L75" s="6">
        <f t="shared" si="46"/>
        <v>-1099.44</v>
      </c>
      <c r="M75" s="2"/>
      <c r="N75" s="7">
        <f t="shared" si="47"/>
        <v>-0.73296000000000006</v>
      </c>
      <c r="O75" s="11"/>
      <c r="P75" s="6">
        <v>400.56</v>
      </c>
      <c r="Q75" s="2"/>
      <c r="R75" s="7">
        <f t="shared" si="48"/>
        <v>1.903416803279526E-3</v>
      </c>
      <c r="S75" s="2"/>
      <c r="T75" s="6">
        <v>3000</v>
      </c>
      <c r="U75" s="2"/>
      <c r="V75" s="7">
        <f t="shared" si="49"/>
        <v>2.6455026455026454E-2</v>
      </c>
      <c r="W75" s="2"/>
      <c r="X75" s="6">
        <f t="shared" si="50"/>
        <v>-2599.44</v>
      </c>
      <c r="Y75" s="2"/>
      <c r="Z75" s="7">
        <f t="shared" si="51"/>
        <v>-0.86648000000000003</v>
      </c>
    </row>
    <row r="76" spans="1:26" s="24" customFormat="1" hidden="1" outlineLevel="2" x14ac:dyDescent="0.3">
      <c r="A76" s="27"/>
      <c r="B76" s="11" t="str">
        <f>CONCATENATE("          ", "6241", " - ", "OFFICE EXPENSE")</f>
        <v xml:space="preserve">          6241 - OFFICE EXPENSE</v>
      </c>
      <c r="C76" s="11"/>
      <c r="D76" s="6">
        <v>561.9</v>
      </c>
      <c r="E76" s="2"/>
      <c r="F76" s="7">
        <f t="shared" si="44"/>
        <v>2.6700866331205455E-3</v>
      </c>
      <c r="G76" s="2"/>
      <c r="H76" s="6">
        <v>500</v>
      </c>
      <c r="I76" s="2"/>
      <c r="J76" s="7">
        <f t="shared" si="45"/>
        <v>4.4091710758377423E-3</v>
      </c>
      <c r="K76" s="2"/>
      <c r="L76" s="6">
        <f t="shared" si="46"/>
        <v>61.899999999999977</v>
      </c>
      <c r="M76" s="2"/>
      <c r="N76" s="7">
        <f t="shared" si="47"/>
        <v>0.12379999999999995</v>
      </c>
      <c r="O76" s="11"/>
      <c r="P76" s="6">
        <v>566.4</v>
      </c>
      <c r="Q76" s="2"/>
      <c r="R76" s="7">
        <f t="shared" si="48"/>
        <v>2.6914701352544527E-3</v>
      </c>
      <c r="S76" s="2"/>
      <c r="T76" s="6">
        <v>1000</v>
      </c>
      <c r="U76" s="2"/>
      <c r="V76" s="7">
        <f t="shared" si="49"/>
        <v>8.8183421516754845E-3</v>
      </c>
      <c r="W76" s="2"/>
      <c r="X76" s="6">
        <f t="shared" si="50"/>
        <v>-433.6</v>
      </c>
      <c r="Y76" s="2"/>
      <c r="Z76" s="7">
        <f t="shared" si="51"/>
        <v>-0.43360000000000004</v>
      </c>
    </row>
    <row r="77" spans="1:26" s="24" customFormat="1" hidden="1" outlineLevel="2" x14ac:dyDescent="0.3">
      <c r="A77" s="27"/>
      <c r="B77" s="11" t="str">
        <f>CONCATENATE("          ", "6243", " - ", "PAPER SUPPLIES")</f>
        <v xml:space="preserve">          6243 - PAPER SUPPLIES</v>
      </c>
      <c r="C77" s="11"/>
      <c r="D77" s="6">
        <v>2244.42</v>
      </c>
      <c r="E77" s="2"/>
      <c r="F77" s="7">
        <f t="shared" si="44"/>
        <v>1.0665235524307554E-2</v>
      </c>
      <c r="G77" s="2"/>
      <c r="H77" s="6">
        <v>5000</v>
      </c>
      <c r="I77" s="2"/>
      <c r="J77" s="7">
        <f t="shared" si="45"/>
        <v>4.4091710758377423E-2</v>
      </c>
      <c r="K77" s="2"/>
      <c r="L77" s="6">
        <f t="shared" si="46"/>
        <v>-2755.58</v>
      </c>
      <c r="M77" s="2"/>
      <c r="N77" s="7">
        <f t="shared" si="47"/>
        <v>-0.55111599999999994</v>
      </c>
      <c r="O77" s="11"/>
      <c r="P77" s="6">
        <v>2244.42</v>
      </c>
      <c r="Q77" s="2"/>
      <c r="R77" s="7">
        <f t="shared" si="48"/>
        <v>1.0665235524307554E-2</v>
      </c>
      <c r="S77" s="2"/>
      <c r="T77" s="6">
        <v>10000</v>
      </c>
      <c r="U77" s="2"/>
      <c r="V77" s="7">
        <f t="shared" si="49"/>
        <v>8.8183421516754845E-2</v>
      </c>
      <c r="W77" s="2"/>
      <c r="X77" s="6">
        <f t="shared" si="50"/>
        <v>-7755.58</v>
      </c>
      <c r="Y77" s="2"/>
      <c r="Z77" s="7">
        <f t="shared" si="51"/>
        <v>-0.77555799999999997</v>
      </c>
    </row>
    <row r="78" spans="1:26" s="24" customFormat="1" hidden="1" outlineLevel="2" x14ac:dyDescent="0.3">
      <c r="A78" s="27"/>
      <c r="B78" s="11" t="str">
        <f>CONCATENATE("          ", "6244", " - ", "SAFETY SUPPLY EXPENSE")</f>
        <v xml:space="preserve">          6244 - SAFETY SUPPLY EXPENSE</v>
      </c>
      <c r="C78" s="11"/>
      <c r="D78" s="6"/>
      <c r="E78" s="2"/>
      <c r="F78" s="7">
        <f t="shared" si="44"/>
        <v>0</v>
      </c>
      <c r="G78" s="2"/>
      <c r="H78" s="6">
        <v>200</v>
      </c>
      <c r="I78" s="2"/>
      <c r="J78" s="7">
        <f t="shared" si="45"/>
        <v>1.7636684303350969E-3</v>
      </c>
      <c r="K78" s="2"/>
      <c r="L78" s="6">
        <f t="shared" si="46"/>
        <v>-200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400</v>
      </c>
      <c r="U78" s="2"/>
      <c r="V78" s="7">
        <f t="shared" si="49"/>
        <v>3.5273368606701938E-3</v>
      </c>
      <c r="W78" s="2"/>
      <c r="X78" s="6">
        <f t="shared" si="50"/>
        <v>-400</v>
      </c>
      <c r="Y78" s="2"/>
      <c r="Z78" s="7">
        <f t="shared" si="51"/>
        <v>-1</v>
      </c>
    </row>
    <row r="79" spans="1:26" s="24" customFormat="1" hidden="1" outlineLevel="2" x14ac:dyDescent="0.3">
      <c r="A79" s="27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44"/>
        <v>0</v>
      </c>
      <c r="G79" s="2"/>
      <c r="H79" s="6">
        <v>196</v>
      </c>
      <c r="I79" s="2"/>
      <c r="J79" s="7">
        <f t="shared" si="45"/>
        <v>1.7283950617283952E-3</v>
      </c>
      <c r="K79" s="2"/>
      <c r="L79" s="6">
        <f t="shared" si="46"/>
        <v>-196</v>
      </c>
      <c r="M79" s="2"/>
      <c r="N79" s="7">
        <f t="shared" si="47"/>
        <v>-1</v>
      </c>
      <c r="O79" s="11"/>
      <c r="P79" s="6"/>
      <c r="Q79" s="2"/>
      <c r="R79" s="7">
        <f t="shared" si="48"/>
        <v>0</v>
      </c>
      <c r="S79" s="2"/>
      <c r="T79" s="6">
        <v>392</v>
      </c>
      <c r="U79" s="2"/>
      <c r="V79" s="7">
        <f t="shared" si="49"/>
        <v>3.4567901234567903E-3</v>
      </c>
      <c r="W79" s="2"/>
      <c r="X79" s="6">
        <f t="shared" si="50"/>
        <v>-392</v>
      </c>
      <c r="Y79" s="2"/>
      <c r="Z79" s="7">
        <f t="shared" si="51"/>
        <v>-1</v>
      </c>
    </row>
    <row r="80" spans="1:26" s="28" customFormat="1" outlineLevel="1" collapsed="1" x14ac:dyDescent="0.3">
      <c r="A80" s="29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SUM(OSRRefD22_13x_0)</f>
        <v>164</v>
      </c>
      <c r="E80" s="1"/>
      <c r="F80" s="5">
        <f t="shared" ref="F80:F81" si="52">IF(D$12=0,0,D80/D$12)</f>
        <v>7.7930985554684013E-4</v>
      </c>
      <c r="G80" s="1"/>
      <c r="H80" s="1">
        <f>SUM(OSRRefH22_13x_0)</f>
        <v>175</v>
      </c>
      <c r="I80" s="1"/>
      <c r="J80" s="5">
        <f t="shared" ref="J80:J81" si="53">IF(H$12=0,0,H80/H$12)</f>
        <v>1.5432098765432098E-3</v>
      </c>
      <c r="K80" s="1"/>
      <c r="L80" s="1">
        <f t="shared" ref="L80:L81" si="54">+D80-H80</f>
        <v>-11</v>
      </c>
      <c r="M80" s="1"/>
      <c r="N80" s="5">
        <f t="shared" ref="N80:N81" si="55">IF(H80=0,0,L80/H80)</f>
        <v>-6.2857142857142861E-2</v>
      </c>
      <c r="O80" s="14"/>
      <c r="P80" s="1">
        <f>SUM(OSRRefP22_13x_0)</f>
        <v>328</v>
      </c>
      <c r="Q80" s="1"/>
      <c r="R80" s="5">
        <f t="shared" ref="R80:R81" si="56">IF(P$12=0,0,P80/P$12)</f>
        <v>1.5586197110936803E-3</v>
      </c>
      <c r="S80" s="1"/>
      <c r="T80" s="1">
        <f>SUM(OSRRefT22_13x_0)</f>
        <v>350</v>
      </c>
      <c r="U80" s="1"/>
      <c r="V80" s="5">
        <f t="shared" ref="V80:V81" si="57">IF(T$12=0,0,T80/T$12)</f>
        <v>3.0864197530864196E-3</v>
      </c>
      <c r="W80" s="1"/>
      <c r="X80" s="1">
        <f t="shared" ref="X80:X81" si="58">+P80-T80</f>
        <v>-22</v>
      </c>
      <c r="Y80" s="1"/>
      <c r="Z80" s="5">
        <f t="shared" ref="Z80:Z81" si="59">IF(T80=0,0,X80/T80)</f>
        <v>-6.2857142857142861E-2</v>
      </c>
    </row>
    <row r="81" spans="1:26" s="24" customFormat="1" hidden="1" outlineLevel="2" x14ac:dyDescent="0.3">
      <c r="A81" s="27"/>
      <c r="B81" s="11" t="str">
        <f>CONCATENATE("          ", "6309", " - ", "TELEPHONE")</f>
        <v xml:space="preserve">          6309 - TELEPHONE</v>
      </c>
      <c r="C81" s="11"/>
      <c r="D81" s="6">
        <v>164</v>
      </c>
      <c r="E81" s="2"/>
      <c r="F81" s="7">
        <f t="shared" si="52"/>
        <v>7.7930985554684013E-4</v>
      </c>
      <c r="G81" s="2"/>
      <c r="H81" s="6">
        <v>175</v>
      </c>
      <c r="I81" s="2"/>
      <c r="J81" s="7">
        <f t="shared" si="53"/>
        <v>1.5432098765432098E-3</v>
      </c>
      <c r="K81" s="2"/>
      <c r="L81" s="6">
        <f t="shared" si="54"/>
        <v>-11</v>
      </c>
      <c r="M81" s="2"/>
      <c r="N81" s="7">
        <f t="shared" si="55"/>
        <v>-6.2857142857142861E-2</v>
      </c>
      <c r="O81" s="11"/>
      <c r="P81" s="6">
        <v>328</v>
      </c>
      <c r="Q81" s="2"/>
      <c r="R81" s="7">
        <f t="shared" si="56"/>
        <v>1.5586197110936803E-3</v>
      </c>
      <c r="S81" s="2"/>
      <c r="T81" s="6">
        <v>350</v>
      </c>
      <c r="U81" s="2"/>
      <c r="V81" s="7">
        <f t="shared" si="57"/>
        <v>3.0864197530864196E-3</v>
      </c>
      <c r="W81" s="2"/>
      <c r="X81" s="6">
        <f t="shared" si="58"/>
        <v>-22</v>
      </c>
      <c r="Y81" s="2"/>
      <c r="Z81" s="7">
        <f t="shared" si="59"/>
        <v>-6.2857142857142861E-2</v>
      </c>
    </row>
    <row r="82" spans="1:26" s="53" customFormat="1" x14ac:dyDescent="0.3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3">
      <c r="A83" s="10"/>
      <c r="B83" s="25" t="s">
        <v>293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3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3">
      <c r="A85" s="10"/>
      <c r="B85" s="26" t="s">
        <v>277</v>
      </c>
      <c r="C85" s="26"/>
      <c r="D85" s="21">
        <f>+D23-D25+D83</f>
        <v>67998.030000000013</v>
      </c>
      <c r="E85" s="13"/>
      <c r="F85" s="20">
        <f>IF(D$12=0,0,D85/D$12)</f>
        <v>0.32311911546810801</v>
      </c>
      <c r="G85" s="13"/>
      <c r="H85" s="21">
        <f>+H23-H25+H83</f>
        <v>-75641.815896923013</v>
      </c>
      <c r="I85" s="13"/>
      <c r="J85" s="20">
        <f>IF(H$12=0,0,H85/H$12)</f>
        <v>-0.66703541355311302</v>
      </c>
      <c r="K85" s="16"/>
      <c r="L85" s="21">
        <f>+D85-H85</f>
        <v>143639.84589692304</v>
      </c>
      <c r="M85" s="16"/>
      <c r="N85" s="20">
        <f>IF(H85=0,0,L85/H85)</f>
        <v>-1.8989476150686393</v>
      </c>
      <c r="O85" s="25"/>
      <c r="P85" s="21">
        <f>+P23-P25+P83</f>
        <v>26499.22</v>
      </c>
      <c r="Q85" s="13"/>
      <c r="R85" s="20">
        <f>IF(P$12=0,0,P85/P$12)</f>
        <v>0.12592136164819473</v>
      </c>
      <c r="S85" s="13"/>
      <c r="T85" s="21">
        <f>+T23-T25+T83</f>
        <v>-193376.18426807688</v>
      </c>
      <c r="U85" s="13"/>
      <c r="V85" s="20">
        <f>IF(T$12=0,0,T85/T$12)</f>
        <v>-1.7052573568613481</v>
      </c>
      <c r="W85" s="16"/>
      <c r="X85" s="21">
        <f>+P85-T85</f>
        <v>219875.40426807688</v>
      </c>
      <c r="Y85" s="16"/>
      <c r="Z85" s="20">
        <f>IF(T85=0,0,X85/T85)</f>
        <v>-1.1370345583159518</v>
      </c>
    </row>
    <row r="86" spans="1:26" x14ac:dyDescent="0.3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3">
      <c r="A87" s="52"/>
      <c r="B87" s="10" t="s">
        <v>128</v>
      </c>
      <c r="C87" s="10"/>
      <c r="D87" s="4">
        <v>31447.08</v>
      </c>
      <c r="E87" s="4"/>
      <c r="F87" s="12">
        <f>IF(D$12=0,0,D87/D$12)</f>
        <v>0.14943304495225565</v>
      </c>
      <c r="G87" s="4"/>
      <c r="H87" s="4">
        <v>12700</v>
      </c>
      <c r="I87" s="4"/>
      <c r="J87" s="12">
        <f>IF(H$12=0,0,H87/H$12)</f>
        <v>0.11199294532627865</v>
      </c>
      <c r="K87" s="4"/>
      <c r="L87" s="4">
        <f>+D87-H87</f>
        <v>18747.080000000002</v>
      </c>
      <c r="M87" s="4"/>
      <c r="N87" s="12">
        <f>IF(H87=0,0,L87/H87)</f>
        <v>1.4761480314960631</v>
      </c>
      <c r="O87" s="10"/>
      <c r="P87" s="4">
        <v>31447.08</v>
      </c>
      <c r="Q87" s="4"/>
      <c r="R87" s="12">
        <f>IF(P$12=0,0,P87/P$12)</f>
        <v>0.14943304495225565</v>
      </c>
      <c r="S87" s="4"/>
      <c r="T87" s="4">
        <v>12700</v>
      </c>
      <c r="U87" s="4"/>
      <c r="V87" s="12">
        <f>IF(T$12=0,0,T87/T$12)</f>
        <v>0.11199294532627865</v>
      </c>
      <c r="W87" s="4"/>
      <c r="X87" s="4">
        <f>+P87-T87</f>
        <v>18747.080000000002</v>
      </c>
      <c r="Y87" s="4"/>
      <c r="Z87" s="12">
        <f>IF(T87=0,0,X87/T87)</f>
        <v>1.4761480314960631</v>
      </c>
    </row>
    <row r="88" spans="1:26" x14ac:dyDescent="0.3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" thickBot="1" x14ac:dyDescent="0.35">
      <c r="A89" s="10"/>
      <c r="B89" s="26" t="s">
        <v>126</v>
      </c>
      <c r="C89" s="26"/>
      <c r="D89" s="30">
        <f>+D85-D87</f>
        <v>36550.950000000012</v>
      </c>
      <c r="E89" s="13"/>
      <c r="F89" s="35">
        <f>IF(D$12=0,0,D89/D$12)</f>
        <v>0.17368607051585236</v>
      </c>
      <c r="G89" s="13"/>
      <c r="H89" s="30">
        <f>+H85-H87</f>
        <v>-88341.815896923013</v>
      </c>
      <c r="I89" s="13"/>
      <c r="J89" s="35">
        <f>IF(H$12=0,0,H89/H$12)</f>
        <v>-0.7790283588793917</v>
      </c>
      <c r="K89" s="16"/>
      <c r="L89" s="30">
        <f>D89-H89</f>
        <v>124892.76589692303</v>
      </c>
      <c r="M89" s="16"/>
      <c r="N89" s="35">
        <f>IF(H89=0,0,L89/H89)</f>
        <v>-1.4137446081326601</v>
      </c>
      <c r="O89" s="25"/>
      <c r="P89" s="30">
        <f>+P85-P87</f>
        <v>-4947.8600000000006</v>
      </c>
      <c r="Q89" s="13"/>
      <c r="R89" s="35">
        <f>IF(P$12=0,0,P89/P$12)</f>
        <v>-2.3511683304060907E-2</v>
      </c>
      <c r="S89" s="13"/>
      <c r="T89" s="30">
        <f>+T85-T87</f>
        <v>-206076.18426807688</v>
      </c>
      <c r="U89" s="13"/>
      <c r="V89" s="35">
        <f>IF(T$12=0,0,T89/T$12)</f>
        <v>-1.8172503021876267</v>
      </c>
      <c r="W89" s="16"/>
      <c r="X89" s="30">
        <f>P89-T89</f>
        <v>201128.32426807686</v>
      </c>
      <c r="Y89" s="16"/>
      <c r="Z89" s="35">
        <f>IF(T89=0,0,X89/T89)</f>
        <v>-0.97599014161887077</v>
      </c>
    </row>
    <row r="90" spans="1:26" ht="15" thickTop="1" x14ac:dyDescent="0.3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3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" thickBot="1" x14ac:dyDescent="0.35">
      <c r="A92" s="10"/>
      <c r="B92" s="26" t="s">
        <v>294</v>
      </c>
      <c r="C92" s="26"/>
      <c r="D92" s="32">
        <f>SUM(D89:D91)</f>
        <v>36550.950000000012</v>
      </c>
      <c r="E92" s="13"/>
      <c r="F92" s="34">
        <f>IF(D$12=0,0,D92/D$12)</f>
        <v>0.17368607051585236</v>
      </c>
      <c r="G92" s="13"/>
      <c r="H92" s="32">
        <f>SUM(H89:H91)</f>
        <v>-88341.815896923013</v>
      </c>
      <c r="I92" s="13"/>
      <c r="J92" s="34">
        <f>IF(H$12=0,0,H92/H$12)</f>
        <v>-0.7790283588793917</v>
      </c>
      <c r="K92" s="16"/>
      <c r="L92" s="32">
        <f>+D92-H92</f>
        <v>124892.76589692303</v>
      </c>
      <c r="M92" s="16"/>
      <c r="N92" s="34">
        <f>IF(H92=0,0,L92/H92)</f>
        <v>-1.4137446081326601</v>
      </c>
      <c r="O92" s="25"/>
      <c r="P92" s="32">
        <f>SUM(P89:P91)</f>
        <v>-4947.8600000000006</v>
      </c>
      <c r="Q92" s="13"/>
      <c r="R92" s="34">
        <f>IF(P$12=0,0,P92/P$12)</f>
        <v>-2.3511683304060907E-2</v>
      </c>
      <c r="S92" s="13"/>
      <c r="T92" s="32">
        <f>SUM(T89:T91)</f>
        <v>-206076.18426807688</v>
      </c>
      <c r="U92" s="13"/>
      <c r="V92" s="34">
        <f>IF(T$12=0,0,T92/T$12)</f>
        <v>-1.8172503021876267</v>
      </c>
      <c r="W92" s="16"/>
      <c r="X92" s="32">
        <f>+P92-T92</f>
        <v>201128.32426807686</v>
      </c>
      <c r="Y92" s="16"/>
      <c r="Z92" s="34">
        <f>IF(T92=0,0,X92/T92)</f>
        <v>-0.97599014161887077</v>
      </c>
    </row>
    <row r="93" spans="1:26" ht="15" thickTop="1" x14ac:dyDescent="0.3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">
      <c r="A94" s="9"/>
      <c r="B94" s="61">
        <v>44470.835499687499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A95" s="9"/>
      <c r="B95" s="58" t="s">
        <v>56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A96" s="9"/>
      <c r="B96" s="55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3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","444", " - ", "Parkside Dining Hall")</f>
        <v>Department 444 - Parkside Dining Hall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230888.82</v>
      </c>
      <c r="E12" s="4"/>
      <c r="F12" s="12"/>
      <c r="G12" s="4"/>
      <c r="H12" s="4">
        <f>SUM(OSRRefH13x_0)</f>
        <v>138600</v>
      </c>
      <c r="I12" s="4"/>
      <c r="J12" s="12"/>
      <c r="K12" s="4"/>
      <c r="L12" s="4">
        <f t="shared" ref="L12:L16" si="0">+D12-H12</f>
        <v>92288.82</v>
      </c>
      <c r="M12" s="4"/>
      <c r="N12" s="12">
        <f t="shared" ref="N12:N16" si="1">IF(H12=0,0,L12/H12)</f>
        <v>0.66586450216450221</v>
      </c>
      <c r="O12" s="10"/>
      <c r="P12" s="4">
        <f>SUM(OSRRefP13x_0)</f>
        <v>253876.17</v>
      </c>
      <c r="Q12" s="4"/>
      <c r="R12" s="12"/>
      <c r="S12" s="4"/>
      <c r="T12" s="4">
        <f>SUM(OSRRefT13x_0)</f>
        <v>138600</v>
      </c>
      <c r="U12" s="4"/>
      <c r="V12" s="12"/>
      <c r="W12" s="4"/>
      <c r="X12" s="4">
        <f t="shared" ref="X12:X16" si="2">+P12-T12</f>
        <v>115276.17000000001</v>
      </c>
      <c r="Y12" s="4"/>
      <c r="Z12" s="12">
        <f t="shared" ref="Z12:Z16" si="3">IF(T12=0,0,X12/T12)</f>
        <v>0.83171839826839833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--80.88</f>
        <v>80.88</v>
      </c>
      <c r="E13" s="2"/>
      <c r="F13" s="19"/>
      <c r="G13" s="2"/>
      <c r="H13" s="2"/>
      <c r="I13" s="2"/>
      <c r="J13" s="19"/>
      <c r="K13" s="2"/>
      <c r="L13" s="2">
        <f t="shared" si="0"/>
        <v>80.88</v>
      </c>
      <c r="M13" s="2"/>
      <c r="N13" s="19">
        <f t="shared" si="1"/>
        <v>0</v>
      </c>
      <c r="O13" s="11"/>
      <c r="P13" s="2">
        <f>--187.52</f>
        <v>187.52</v>
      </c>
      <c r="Q13" s="2"/>
      <c r="R13" s="19"/>
      <c r="S13" s="2"/>
      <c r="T13" s="2"/>
      <c r="U13" s="2"/>
      <c r="V13" s="19"/>
      <c r="W13" s="2"/>
      <c r="X13" s="2">
        <f t="shared" si="2"/>
        <v>187.52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138600</v>
      </c>
      <c r="I14" s="2"/>
      <c r="J14" s="19"/>
      <c r="K14" s="2"/>
      <c r="L14" s="2">
        <f t="shared" si="0"/>
        <v>-138600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138600</v>
      </c>
      <c r="U14" s="2"/>
      <c r="V14" s="19"/>
      <c r="W14" s="2"/>
      <c r="X14" s="2">
        <f t="shared" si="2"/>
        <v>-138600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--229419.92</f>
        <v>229419.92</v>
      </c>
      <c r="E15" s="2"/>
      <c r="F15" s="19"/>
      <c r="G15" s="2"/>
      <c r="H15" s="2"/>
      <c r="I15" s="2"/>
      <c r="J15" s="19"/>
      <c r="K15" s="2"/>
      <c r="L15" s="2">
        <f t="shared" si="0"/>
        <v>229419.92</v>
      </c>
      <c r="M15" s="2"/>
      <c r="N15" s="19">
        <f t="shared" si="1"/>
        <v>0</v>
      </c>
      <c r="O15" s="11"/>
      <c r="P15" s="2">
        <f>--249019.92</f>
        <v>249019.92</v>
      </c>
      <c r="Q15" s="2"/>
      <c r="R15" s="19"/>
      <c r="S15" s="2"/>
      <c r="T15" s="2"/>
      <c r="U15" s="2"/>
      <c r="V15" s="19"/>
      <c r="W15" s="2"/>
      <c r="X15" s="2">
        <f t="shared" si="2"/>
        <v>249019.92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--1388.02</f>
        <v>1388.02</v>
      </c>
      <c r="E16" s="2"/>
      <c r="F16" s="19"/>
      <c r="G16" s="2"/>
      <c r="H16" s="2"/>
      <c r="I16" s="2"/>
      <c r="J16" s="19"/>
      <c r="K16" s="2"/>
      <c r="L16" s="2">
        <f t="shared" si="0"/>
        <v>1388.02</v>
      </c>
      <c r="M16" s="2"/>
      <c r="N16" s="19">
        <f t="shared" si="1"/>
        <v>0</v>
      </c>
      <c r="O16" s="11"/>
      <c r="P16" s="2">
        <f>--4668.73</f>
        <v>4668.7299999999996</v>
      </c>
      <c r="Q16" s="2"/>
      <c r="R16" s="19"/>
      <c r="S16" s="2"/>
      <c r="T16" s="2"/>
      <c r="U16" s="2"/>
      <c r="V16" s="19"/>
      <c r="W16" s="2"/>
      <c r="X16" s="2">
        <f t="shared" si="2"/>
        <v>4668.7299999999996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91448.72</v>
      </c>
      <c r="E18" s="4"/>
      <c r="F18" s="12">
        <f t="shared" ref="F18:F21" si="4">IF(D$12=0,0,D18/D$12)</f>
        <v>0.39607253395811887</v>
      </c>
      <c r="G18" s="4"/>
      <c r="H18" s="4">
        <f>SUM(OSRRefH16x_0)</f>
        <v>69300</v>
      </c>
      <c r="I18" s="4"/>
      <c r="J18" s="12">
        <f t="shared" ref="J18:J21" si="5">IF(H$12=0,0,H18/H$12)</f>
        <v>0.5</v>
      </c>
      <c r="K18" s="4"/>
      <c r="L18" s="4">
        <f t="shared" ref="L18:L21" si="6">+D18-H18</f>
        <v>22148.720000000001</v>
      </c>
      <c r="M18" s="4"/>
      <c r="N18" s="12">
        <f t="shared" ref="N18:N21" si="7">IF(H18=0,0,L18/H18)</f>
        <v>0.31960634920634923</v>
      </c>
      <c r="O18" s="10"/>
      <c r="P18" s="4">
        <f>SUM(OSRRefP16x_0)</f>
        <v>108577.56</v>
      </c>
      <c r="Q18" s="4"/>
      <c r="R18" s="12">
        <f t="shared" ref="R18:R21" si="8">IF(P$12=0,0,P18/P$12)</f>
        <v>0.42767921069551346</v>
      </c>
      <c r="S18" s="4"/>
      <c r="T18" s="4">
        <f>SUM(OSRRefT16x_0)</f>
        <v>69300</v>
      </c>
      <c r="U18" s="4"/>
      <c r="V18" s="12">
        <f t="shared" ref="V18:V21" si="9">IF(T$12=0,0,T18/T$12)</f>
        <v>0.5</v>
      </c>
      <c r="W18" s="4"/>
      <c r="X18" s="4">
        <f t="shared" ref="X18:X21" si="10">+P18-T18</f>
        <v>39277.56</v>
      </c>
      <c r="Y18" s="4"/>
      <c r="Z18" s="12">
        <f t="shared" ref="Z18:Z21" si="11">IF(T18=0,0,X18/T18)</f>
        <v>0.56677575757575749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69300</v>
      </c>
      <c r="I19" s="2"/>
      <c r="J19" s="19">
        <f t="shared" si="5"/>
        <v>0.5</v>
      </c>
      <c r="K19" s="2"/>
      <c r="L19" s="2">
        <f t="shared" si="6"/>
        <v>-69300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69300</v>
      </c>
      <c r="U19" s="2"/>
      <c r="V19" s="19">
        <f t="shared" si="9"/>
        <v>0.5</v>
      </c>
      <c r="W19" s="2"/>
      <c r="X19" s="2">
        <f t="shared" si="10"/>
        <v>-69300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101379.72</v>
      </c>
      <c r="E20" s="2"/>
      <c r="F20" s="19">
        <f t="shared" si="4"/>
        <v>0.4390845775902012</v>
      </c>
      <c r="G20" s="2"/>
      <c r="H20" s="2"/>
      <c r="I20" s="2"/>
      <c r="J20" s="19">
        <f t="shared" si="5"/>
        <v>0</v>
      </c>
      <c r="K20" s="2"/>
      <c r="L20" s="2">
        <f t="shared" si="6"/>
        <v>101379.72</v>
      </c>
      <c r="M20" s="2"/>
      <c r="N20" s="19">
        <f t="shared" si="7"/>
        <v>0</v>
      </c>
      <c r="O20" s="11"/>
      <c r="P20" s="2">
        <v>119348.56</v>
      </c>
      <c r="Q20" s="2"/>
      <c r="R20" s="19">
        <f t="shared" si="8"/>
        <v>0.47010540611196394</v>
      </c>
      <c r="S20" s="2"/>
      <c r="T20" s="2"/>
      <c r="U20" s="2"/>
      <c r="V20" s="19">
        <f t="shared" si="9"/>
        <v>0</v>
      </c>
      <c r="W20" s="2"/>
      <c r="X20" s="2">
        <f t="shared" si="10"/>
        <v>119348.56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-9931</v>
      </c>
      <c r="E21" s="2"/>
      <c r="F21" s="19">
        <f t="shared" si="4"/>
        <v>-4.3012043632082317E-2</v>
      </c>
      <c r="G21" s="2"/>
      <c r="H21" s="2"/>
      <c r="I21" s="2"/>
      <c r="J21" s="19">
        <f t="shared" si="5"/>
        <v>0</v>
      </c>
      <c r="K21" s="2"/>
      <c r="L21" s="2">
        <f t="shared" si="6"/>
        <v>-9931</v>
      </c>
      <c r="M21" s="2"/>
      <c r="N21" s="19">
        <f t="shared" si="7"/>
        <v>0</v>
      </c>
      <c r="O21" s="11"/>
      <c r="P21" s="2">
        <v>-10771</v>
      </c>
      <c r="Q21" s="2"/>
      <c r="R21" s="19">
        <f t="shared" si="8"/>
        <v>-4.2426195416450464E-2</v>
      </c>
      <c r="S21" s="2"/>
      <c r="T21" s="2"/>
      <c r="U21" s="2"/>
      <c r="V21" s="19">
        <f t="shared" si="9"/>
        <v>0</v>
      </c>
      <c r="W21" s="2"/>
      <c r="X21" s="2">
        <f t="shared" si="10"/>
        <v>-10771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139440.1</v>
      </c>
      <c r="E23" s="13"/>
      <c r="F23" s="20">
        <f>IF(D$12=0,0,D23/D$12)</f>
        <v>0.60392746604188108</v>
      </c>
      <c r="G23" s="13"/>
      <c r="H23" s="21">
        <f>H12-H18</f>
        <v>69300</v>
      </c>
      <c r="I23" s="13"/>
      <c r="J23" s="20">
        <f>IF(H$12=0,0,H23/H$12)</f>
        <v>0.5</v>
      </c>
      <c r="K23" s="16"/>
      <c r="L23" s="21">
        <f>+D23-H23</f>
        <v>70140.100000000006</v>
      </c>
      <c r="M23" s="16"/>
      <c r="N23" s="20">
        <f>IF(H23=0,0,L23/H23)</f>
        <v>1.0121226551226552</v>
      </c>
      <c r="O23" s="25"/>
      <c r="P23" s="21">
        <f>P12-P18</f>
        <v>145298.61000000002</v>
      </c>
      <c r="Q23" s="13"/>
      <c r="R23" s="20">
        <f>IF(P$12=0,0,P23/P$12)</f>
        <v>0.5723207893044866</v>
      </c>
      <c r="S23" s="13"/>
      <c r="T23" s="21">
        <f>T12-T18</f>
        <v>69300</v>
      </c>
      <c r="U23" s="13"/>
      <c r="V23" s="20">
        <f>IF(T$12=0,0,T23/T$12)</f>
        <v>0.5</v>
      </c>
      <c r="W23" s="16"/>
      <c r="X23" s="21">
        <f>+P23-T23</f>
        <v>75998.610000000015</v>
      </c>
      <c r="Y23" s="16"/>
      <c r="Z23" s="20">
        <f>IF(T23=0,0,X23/T23)</f>
        <v>1.0966610389610392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2">
        <f>SUM(OSRRefD22x_0)</f>
        <v>129711.97</v>
      </c>
      <c r="E25" s="22"/>
      <c r="F25" s="31">
        <f t="shared" ref="F25:F36" si="12">IF(D$12=0,0,D25/D$12)</f>
        <v>0.56179407041016538</v>
      </c>
      <c r="G25" s="22"/>
      <c r="H25" s="22">
        <f>SUM(OSRRefH22x_0)</f>
        <v>161612.79569121994</v>
      </c>
      <c r="I25" s="22"/>
      <c r="J25" s="31">
        <f t="shared" ref="J25:J36" si="13">IF(H$12=0,0,H25/H$12)</f>
        <v>1.1660374869496388</v>
      </c>
      <c r="K25" s="4"/>
      <c r="L25" s="22">
        <f t="shared" ref="L25:L36" si="14">+D25-H25</f>
        <v>-31900.825691219943</v>
      </c>
      <c r="M25" s="4"/>
      <c r="N25" s="31">
        <f t="shared" ref="N25:N36" si="15">IF(H25=0,0,L25/H25)</f>
        <v>-0.19739046994874207</v>
      </c>
      <c r="O25" s="10"/>
      <c r="P25" s="22">
        <f>SUM(OSRRefP22x_0)</f>
        <v>221402.71999999991</v>
      </c>
      <c r="Q25" s="22"/>
      <c r="R25" s="31">
        <f t="shared" ref="R25:R36" si="16">IF(P$12=0,0,P25/P$12)</f>
        <v>0.87208941272432106</v>
      </c>
      <c r="S25" s="22"/>
      <c r="T25" s="22">
        <f>SUM(OSRRefT22x_0)</f>
        <v>278447.27030524483</v>
      </c>
      <c r="U25" s="22"/>
      <c r="V25" s="31">
        <f t="shared" ref="V25:V36" si="17">IF(T$12=0,0,T25/T$12)</f>
        <v>2.0089990642514057</v>
      </c>
      <c r="W25" s="4"/>
      <c r="X25" s="22">
        <f t="shared" ref="X25:X36" si="18">+P25-T25</f>
        <v>-57044.55030524492</v>
      </c>
      <c r="Y25" s="4"/>
      <c r="Z25" s="31">
        <f t="shared" ref="Z25:Z36" si="19">IF(T25=0,0,X25/T25)</f>
        <v>-0.20486661708951373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30558.639999999999</v>
      </c>
      <c r="E26" s="1"/>
      <c r="F26" s="5">
        <f t="shared" si="12"/>
        <v>0.13235218578361654</v>
      </c>
      <c r="G26" s="1"/>
      <c r="H26" s="1">
        <f>SUM(OSRRefH22_0x_0)</f>
        <v>39298.850660450735</v>
      </c>
      <c r="I26" s="1"/>
      <c r="J26" s="5">
        <f t="shared" si="13"/>
        <v>0.28354149105664311</v>
      </c>
      <c r="K26" s="1"/>
      <c r="L26" s="1">
        <f t="shared" si="14"/>
        <v>-8740.2106604507353</v>
      </c>
      <c r="M26" s="1"/>
      <c r="N26" s="5">
        <f t="shared" si="15"/>
        <v>-0.22240372208255543</v>
      </c>
      <c r="O26" s="14"/>
      <c r="P26" s="1">
        <f>SUM(OSRRefP22_0x_0)</f>
        <v>57310.9</v>
      </c>
      <c r="Q26" s="1"/>
      <c r="R26" s="5">
        <f t="shared" si="16"/>
        <v>0.2257435189762001</v>
      </c>
      <c r="S26" s="1"/>
      <c r="T26" s="1">
        <f>SUM(OSRRefT22_0x_0)</f>
        <v>80250.443986014187</v>
      </c>
      <c r="U26" s="1"/>
      <c r="V26" s="5">
        <f t="shared" si="17"/>
        <v>0.57900753236662472</v>
      </c>
      <c r="W26" s="1"/>
      <c r="X26" s="1">
        <f t="shared" si="18"/>
        <v>-22939.543986014185</v>
      </c>
      <c r="Y26" s="1"/>
      <c r="Z26" s="5">
        <f t="shared" si="19"/>
        <v>-0.28584943392976148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4392.45</v>
      </c>
      <c r="E27" s="2"/>
      <c r="F27" s="7">
        <f t="shared" si="12"/>
        <v>1.9024091335388175E-2</v>
      </c>
      <c r="G27" s="2"/>
      <c r="H27" s="6">
        <v>5900.61465891231</v>
      </c>
      <c r="I27" s="2"/>
      <c r="J27" s="7">
        <f t="shared" si="13"/>
        <v>4.2572977337029652E-2</v>
      </c>
      <c r="K27" s="2"/>
      <c r="L27" s="6">
        <f t="shared" si="14"/>
        <v>-1508.1646589123102</v>
      </c>
      <c r="M27" s="2"/>
      <c r="N27" s="7">
        <f t="shared" si="15"/>
        <v>-0.25559450092786057</v>
      </c>
      <c r="O27" s="11"/>
      <c r="P27" s="6">
        <v>7590.14</v>
      </c>
      <c r="Q27" s="2"/>
      <c r="R27" s="7">
        <f t="shared" si="16"/>
        <v>2.9897016328866155E-2</v>
      </c>
      <c r="S27" s="2"/>
      <c r="T27" s="6">
        <v>10291.712982552701</v>
      </c>
      <c r="U27" s="2"/>
      <c r="V27" s="7">
        <f t="shared" si="17"/>
        <v>7.4254783423901155E-2</v>
      </c>
      <c r="W27" s="2"/>
      <c r="X27" s="6">
        <f t="shared" si="18"/>
        <v>-2701.5729825527005</v>
      </c>
      <c r="Y27" s="2"/>
      <c r="Z27" s="7">
        <f t="shared" si="19"/>
        <v>-0.26249983721199899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2075.0500000000002</v>
      </c>
      <c r="E28" s="2"/>
      <c r="F28" s="7">
        <f t="shared" si="12"/>
        <v>8.98722597308956E-3</v>
      </c>
      <c r="G28" s="2"/>
      <c r="H28" s="6">
        <v>3304.6519061384602</v>
      </c>
      <c r="I28" s="2"/>
      <c r="J28" s="7">
        <f t="shared" si="13"/>
        <v>2.3843087345876337E-2</v>
      </c>
      <c r="K28" s="2"/>
      <c r="L28" s="6">
        <f t="shared" si="14"/>
        <v>-1229.60190613846</v>
      </c>
      <c r="M28" s="2"/>
      <c r="N28" s="7">
        <f t="shared" si="15"/>
        <v>-0.37208212576170235</v>
      </c>
      <c r="O28" s="11"/>
      <c r="P28" s="6">
        <v>3575.02</v>
      </c>
      <c r="Q28" s="2"/>
      <c r="R28" s="7">
        <f t="shared" si="16"/>
        <v>1.4081747018635108E-2</v>
      </c>
      <c r="S28" s="2"/>
      <c r="T28" s="6">
        <v>5479.2582888115403</v>
      </c>
      <c r="U28" s="2"/>
      <c r="V28" s="7">
        <f t="shared" si="17"/>
        <v>3.9532888086663352E-2</v>
      </c>
      <c r="W28" s="2"/>
      <c r="X28" s="6">
        <f t="shared" si="18"/>
        <v>-1904.2382888115403</v>
      </c>
      <c r="Y28" s="2"/>
      <c r="Z28" s="7">
        <f t="shared" si="19"/>
        <v>-0.34753577736970903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16426.810000000001</v>
      </c>
      <c r="E29" s="2"/>
      <c r="F29" s="7">
        <f t="shared" si="12"/>
        <v>7.1145974066652518E-2</v>
      </c>
      <c r="G29" s="2"/>
      <c r="H29" s="6">
        <v>21172.769230769201</v>
      </c>
      <c r="I29" s="2"/>
      <c r="J29" s="7">
        <f t="shared" si="13"/>
        <v>0.15276168276168256</v>
      </c>
      <c r="K29" s="2"/>
      <c r="L29" s="6">
        <f t="shared" si="14"/>
        <v>-4745.9592307692001</v>
      </c>
      <c r="M29" s="2"/>
      <c r="N29" s="7">
        <f t="shared" si="15"/>
        <v>-0.22415392049293972</v>
      </c>
      <c r="O29" s="11"/>
      <c r="P29" s="6">
        <v>31464.05</v>
      </c>
      <c r="Q29" s="2"/>
      <c r="R29" s="7">
        <f t="shared" si="16"/>
        <v>0.12393463317175456</v>
      </c>
      <c r="S29" s="2"/>
      <c r="T29" s="6">
        <v>46633.2307692307</v>
      </c>
      <c r="U29" s="2"/>
      <c r="V29" s="7">
        <f t="shared" si="17"/>
        <v>0.33645909645909594</v>
      </c>
      <c r="W29" s="2"/>
      <c r="X29" s="6">
        <f t="shared" si="18"/>
        <v>-15169.180769230701</v>
      </c>
      <c r="Y29" s="2"/>
      <c r="Z29" s="7">
        <f t="shared" si="19"/>
        <v>-0.32528693635439798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149.87</v>
      </c>
      <c r="E30" s="2"/>
      <c r="F30" s="7">
        <f t="shared" si="12"/>
        <v>6.4910028991442721E-4</v>
      </c>
      <c r="G30" s="2"/>
      <c r="H30" s="6">
        <v>183.107361553846</v>
      </c>
      <c r="I30" s="2"/>
      <c r="J30" s="7">
        <f t="shared" si="13"/>
        <v>1.3211209347319336E-3</v>
      </c>
      <c r="K30" s="2"/>
      <c r="L30" s="6">
        <f t="shared" si="14"/>
        <v>-33.237361553846</v>
      </c>
      <c r="M30" s="2"/>
      <c r="N30" s="7">
        <f t="shared" si="15"/>
        <v>-0.1815184341677708</v>
      </c>
      <c r="O30" s="11"/>
      <c r="P30" s="6">
        <v>258.2</v>
      </c>
      <c r="Q30" s="2"/>
      <c r="R30" s="7">
        <f t="shared" si="16"/>
        <v>1.0170312558283826E-3</v>
      </c>
      <c r="S30" s="2"/>
      <c r="T30" s="6">
        <v>303.60006349615401</v>
      </c>
      <c r="U30" s="2"/>
      <c r="V30" s="7">
        <f t="shared" si="17"/>
        <v>2.1904766486013998E-3</v>
      </c>
      <c r="W30" s="2"/>
      <c r="X30" s="6">
        <f t="shared" si="18"/>
        <v>-45.400063496154019</v>
      </c>
      <c r="Y30" s="2"/>
      <c r="Z30" s="7">
        <f t="shared" si="19"/>
        <v>-0.14953904479907706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1434.5</v>
      </c>
      <c r="E31" s="2"/>
      <c r="F31" s="7">
        <f t="shared" si="12"/>
        <v>6.212946993275811E-3</v>
      </c>
      <c r="G31" s="2"/>
      <c r="H31" s="6">
        <v>1406.6708415384601</v>
      </c>
      <c r="I31" s="2"/>
      <c r="J31" s="7">
        <f t="shared" si="13"/>
        <v>1.0149140270840261E-2</v>
      </c>
      <c r="K31" s="2"/>
      <c r="L31" s="6">
        <f t="shared" si="14"/>
        <v>27.829158461539919</v>
      </c>
      <c r="M31" s="2"/>
      <c r="N31" s="7">
        <f t="shared" si="15"/>
        <v>1.9783703223067793E-2</v>
      </c>
      <c r="O31" s="11"/>
      <c r="P31" s="6">
        <v>2869</v>
      </c>
      <c r="Q31" s="2"/>
      <c r="R31" s="7">
        <f t="shared" si="16"/>
        <v>1.130078494566859E-2</v>
      </c>
      <c r="S31" s="2"/>
      <c r="T31" s="6">
        <v>3165.0093934615402</v>
      </c>
      <c r="U31" s="2"/>
      <c r="V31" s="7">
        <f t="shared" si="17"/>
        <v>2.2835565609390623E-2</v>
      </c>
      <c r="W31" s="2"/>
      <c r="X31" s="6">
        <f t="shared" si="18"/>
        <v>-296.00939346154018</v>
      </c>
      <c r="Y31" s="2"/>
      <c r="Z31" s="7">
        <f t="shared" si="19"/>
        <v>-9.3525597135052277E-2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691.24</v>
      </c>
      <c r="E33" s="2"/>
      <c r="F33" s="7">
        <f t="shared" si="12"/>
        <v>2.9938218749612907E-3</v>
      </c>
      <c r="G33" s="2"/>
      <c r="H33" s="6"/>
      <c r="I33" s="2"/>
      <c r="J33" s="7">
        <f t="shared" si="13"/>
        <v>0</v>
      </c>
      <c r="K33" s="2"/>
      <c r="L33" s="6">
        <f t="shared" si="14"/>
        <v>691.24</v>
      </c>
      <c r="M33" s="2"/>
      <c r="N33" s="7">
        <f t="shared" si="15"/>
        <v>0</v>
      </c>
      <c r="O33" s="11"/>
      <c r="P33" s="6">
        <v>1114.27</v>
      </c>
      <c r="Q33" s="2"/>
      <c r="R33" s="7">
        <f t="shared" si="16"/>
        <v>4.3890295020600004E-3</v>
      </c>
      <c r="S33" s="2"/>
      <c r="T33" s="6"/>
      <c r="U33" s="2"/>
      <c r="V33" s="7">
        <f t="shared" si="17"/>
        <v>0</v>
      </c>
      <c r="W33" s="2"/>
      <c r="X33" s="6">
        <f t="shared" si="18"/>
        <v>1114.27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6">
        <v>2542.33</v>
      </c>
      <c r="E34" s="2"/>
      <c r="F34" s="7">
        <f t="shared" si="12"/>
        <v>1.1011057183279813E-2</v>
      </c>
      <c r="G34" s="2"/>
      <c r="H34" s="6">
        <v>1967.9663307692299</v>
      </c>
      <c r="I34" s="2"/>
      <c r="J34" s="7">
        <f t="shared" si="13"/>
        <v>1.4198891275391269E-2</v>
      </c>
      <c r="K34" s="2"/>
      <c r="L34" s="6">
        <f t="shared" si="14"/>
        <v>574.36366923077003</v>
      </c>
      <c r="M34" s="2"/>
      <c r="N34" s="7">
        <f t="shared" si="15"/>
        <v>0.291856451124479</v>
      </c>
      <c r="O34" s="11"/>
      <c r="P34" s="6">
        <v>5036.37</v>
      </c>
      <c r="Q34" s="2"/>
      <c r="R34" s="7">
        <f t="shared" si="16"/>
        <v>1.9837899713076652E-2</v>
      </c>
      <c r="S34" s="2"/>
      <c r="T34" s="6">
        <v>4427.9242442307695</v>
      </c>
      <c r="U34" s="2"/>
      <c r="V34" s="7">
        <f t="shared" si="17"/>
        <v>3.1947505369630369E-2</v>
      </c>
      <c r="W34" s="2"/>
      <c r="X34" s="6">
        <f t="shared" si="18"/>
        <v>608.44575576923035</v>
      </c>
      <c r="Y34" s="2"/>
      <c r="Z34" s="7">
        <f t="shared" si="19"/>
        <v>0.13741105814129193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6">
        <v>1790.8</v>
      </c>
      <c r="E35" s="2"/>
      <c r="F35" s="7">
        <f t="shared" si="12"/>
        <v>7.7561139599570039E-3</v>
      </c>
      <c r="G35" s="2"/>
      <c r="H35" s="6">
        <v>3088.0703307692302</v>
      </c>
      <c r="I35" s="2"/>
      <c r="J35" s="7">
        <f t="shared" si="13"/>
        <v>2.2280449716949712E-2</v>
      </c>
      <c r="K35" s="2"/>
      <c r="L35" s="6">
        <f t="shared" si="14"/>
        <v>-1297.2703307692302</v>
      </c>
      <c r="M35" s="2"/>
      <c r="N35" s="7">
        <f t="shared" si="15"/>
        <v>-0.4200909279310629</v>
      </c>
      <c r="O35" s="11"/>
      <c r="P35" s="6">
        <v>3514.8</v>
      </c>
      <c r="Q35" s="2"/>
      <c r="R35" s="7">
        <f t="shared" si="16"/>
        <v>1.384454476369326E-2</v>
      </c>
      <c r="S35" s="2"/>
      <c r="T35" s="6">
        <v>5399.7082442307701</v>
      </c>
      <c r="U35" s="2"/>
      <c r="V35" s="7">
        <f t="shared" si="17"/>
        <v>3.8958933941058947E-2</v>
      </c>
      <c r="W35" s="2"/>
      <c r="X35" s="6">
        <f t="shared" si="18"/>
        <v>-1884.9082442307699</v>
      </c>
      <c r="Y35" s="2"/>
      <c r="Z35" s="7">
        <f t="shared" si="19"/>
        <v>-0.34907594243534718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6">
        <v>1055.5899999999999</v>
      </c>
      <c r="E36" s="2"/>
      <c r="F36" s="7">
        <f t="shared" si="12"/>
        <v>4.5718541070979522E-3</v>
      </c>
      <c r="G36" s="2"/>
      <c r="H36" s="6">
        <v>2275</v>
      </c>
      <c r="I36" s="2"/>
      <c r="J36" s="7">
        <f t="shared" si="13"/>
        <v>1.6414141414141416E-2</v>
      </c>
      <c r="K36" s="2"/>
      <c r="L36" s="6">
        <f t="shared" si="14"/>
        <v>-1219.4100000000001</v>
      </c>
      <c r="M36" s="2"/>
      <c r="N36" s="7">
        <f t="shared" si="15"/>
        <v>-0.53600439560439561</v>
      </c>
      <c r="O36" s="11"/>
      <c r="P36" s="6">
        <v>1889.05</v>
      </c>
      <c r="Q36" s="2"/>
      <c r="R36" s="7">
        <f t="shared" si="16"/>
        <v>7.4408322766173754E-3</v>
      </c>
      <c r="S36" s="2"/>
      <c r="T36" s="6">
        <v>4550</v>
      </c>
      <c r="U36" s="2"/>
      <c r="V36" s="7">
        <f t="shared" si="17"/>
        <v>3.2828282828282832E-2</v>
      </c>
      <c r="W36" s="2"/>
      <c r="X36" s="6">
        <f t="shared" si="18"/>
        <v>-2660.95</v>
      </c>
      <c r="Y36" s="2"/>
      <c r="Z36" s="7">
        <f t="shared" si="19"/>
        <v>-0.58482417582417578</v>
      </c>
    </row>
    <row r="37" spans="1:26" s="28" customFormat="1" outlineLevel="1" collapsed="1" x14ac:dyDescent="0.3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60842.899999999994</v>
      </c>
      <c r="E37" s="1"/>
      <c r="F37" s="5">
        <f t="shared" ref="F37:F47" si="20">IF(D$12=0,0,D37/D$12)</f>
        <v>0.26351600740131115</v>
      </c>
      <c r="G37" s="1"/>
      <c r="H37" s="1">
        <f>SUM(OSRRefH22_1x_0)</f>
        <v>82137.945030769188</v>
      </c>
      <c r="I37" s="1"/>
      <c r="J37" s="5">
        <f t="shared" ref="J37:J47" si="21">IF(H$12=0,0,H37/H$12)</f>
        <v>0.59262586602286571</v>
      </c>
      <c r="K37" s="1"/>
      <c r="L37" s="1">
        <f t="shared" ref="L37:L47" si="22">+D37-H37</f>
        <v>-21295.045030769194</v>
      </c>
      <c r="M37" s="1"/>
      <c r="N37" s="5">
        <f t="shared" ref="N37:N47" si="23">IF(H37=0,0,L37/H37)</f>
        <v>-0.25925953008432323</v>
      </c>
      <c r="O37" s="14"/>
      <c r="P37" s="1">
        <f>SUM(OSRRefP22_1x_0)</f>
        <v>111446.46</v>
      </c>
      <c r="Q37" s="1"/>
      <c r="R37" s="5">
        <f t="shared" ref="R37:R47" si="24">IF(P$12=0,0,P37/P$12)</f>
        <v>0.4389796017483642</v>
      </c>
      <c r="S37" s="1"/>
      <c r="T37" s="1">
        <f>SUM(OSRRefT22_1x_0)</f>
        <v>134743.82631923072</v>
      </c>
      <c r="U37" s="1"/>
      <c r="V37" s="5">
        <f t="shared" ref="V37:V47" si="25">IF(T$12=0,0,T37/T$12)</f>
        <v>0.97217767907092867</v>
      </c>
      <c r="W37" s="1"/>
      <c r="X37" s="1">
        <f t="shared" ref="X37:X47" si="26">+P37-T37</f>
        <v>-23297.366319230714</v>
      </c>
      <c r="Y37" s="1"/>
      <c r="Z37" s="5">
        <f t="shared" ref="Z37:Z47" si="27">IF(T37=0,0,X37/T37)</f>
        <v>-0.17290117815146014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6">
        <v>15794.86</v>
      </c>
      <c r="E39" s="2"/>
      <c r="F39" s="7">
        <f t="shared" si="20"/>
        <v>6.8408942451176291E-2</v>
      </c>
      <c r="G39" s="2"/>
      <c r="H39" s="6">
        <v>15375.239430769199</v>
      </c>
      <c r="I39" s="2"/>
      <c r="J39" s="7">
        <f t="shared" si="21"/>
        <v>0.1109324634254632</v>
      </c>
      <c r="K39" s="2"/>
      <c r="L39" s="6">
        <f t="shared" si="22"/>
        <v>419.62056923080127</v>
      </c>
      <c r="M39" s="2"/>
      <c r="N39" s="7">
        <f t="shared" si="23"/>
        <v>2.7291969736162235E-2</v>
      </c>
      <c r="O39" s="11"/>
      <c r="P39" s="6">
        <v>35088.78</v>
      </c>
      <c r="Q39" s="2"/>
      <c r="R39" s="7">
        <f t="shared" si="24"/>
        <v>0.13821218431016979</v>
      </c>
      <c r="S39" s="2"/>
      <c r="T39" s="6">
        <v>34594.288719230703</v>
      </c>
      <c r="U39" s="2"/>
      <c r="V39" s="7">
        <f t="shared" si="25"/>
        <v>0.24959804270729222</v>
      </c>
      <c r="W39" s="2"/>
      <c r="X39" s="6">
        <f t="shared" si="26"/>
        <v>494.49128076929628</v>
      </c>
      <c r="Y39" s="2"/>
      <c r="Z39" s="7">
        <f t="shared" si="27"/>
        <v>1.4294014968268804E-2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6">
        <v>18809.28</v>
      </c>
      <c r="E41" s="2"/>
      <c r="F41" s="7">
        <f t="shared" si="20"/>
        <v>8.1464663382142102E-2</v>
      </c>
      <c r="G41" s="2"/>
      <c r="H41" s="6">
        <v>26709.4656</v>
      </c>
      <c r="I41" s="2"/>
      <c r="J41" s="7">
        <f t="shared" si="21"/>
        <v>0.192708987012987</v>
      </c>
      <c r="K41" s="2"/>
      <c r="L41" s="6">
        <f t="shared" si="22"/>
        <v>-7900.1856000000007</v>
      </c>
      <c r="M41" s="2"/>
      <c r="N41" s="7">
        <f t="shared" si="23"/>
        <v>-0.2957822413339487</v>
      </c>
      <c r="O41" s="11"/>
      <c r="P41" s="6">
        <v>38215.25</v>
      </c>
      <c r="Q41" s="2"/>
      <c r="R41" s="7">
        <f t="shared" si="24"/>
        <v>0.15052712509409608</v>
      </c>
      <c r="S41" s="2"/>
      <c r="T41" s="6">
        <v>60096.297599999998</v>
      </c>
      <c r="U41" s="2"/>
      <c r="V41" s="7">
        <f t="shared" si="25"/>
        <v>0.43359522077922075</v>
      </c>
      <c r="W41" s="2"/>
      <c r="X41" s="6">
        <f t="shared" si="26"/>
        <v>-21881.047599999998</v>
      </c>
      <c r="Y41" s="2"/>
      <c r="Z41" s="7">
        <f t="shared" si="27"/>
        <v>-0.364099761114069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8216.98</v>
      </c>
      <c r="E42" s="2"/>
      <c r="F42" s="7">
        <f t="shared" si="20"/>
        <v>3.558847067605958E-2</v>
      </c>
      <c r="G42" s="2"/>
      <c r="H42" s="6">
        <v>9789.24</v>
      </c>
      <c r="I42" s="2"/>
      <c r="J42" s="7">
        <f t="shared" si="21"/>
        <v>7.0629437229437222E-2</v>
      </c>
      <c r="K42" s="2"/>
      <c r="L42" s="6">
        <f t="shared" si="22"/>
        <v>-1572.2600000000002</v>
      </c>
      <c r="M42" s="2"/>
      <c r="N42" s="7">
        <f t="shared" si="23"/>
        <v>-0.16061103824198816</v>
      </c>
      <c r="O42" s="11"/>
      <c r="P42" s="6">
        <v>12842.86</v>
      </c>
      <c r="Q42" s="2"/>
      <c r="R42" s="7">
        <f t="shared" si="24"/>
        <v>5.0587103153478329E-2</v>
      </c>
      <c r="S42" s="2"/>
      <c r="T42" s="6">
        <v>9789.24</v>
      </c>
      <c r="U42" s="2"/>
      <c r="V42" s="7">
        <f t="shared" si="25"/>
        <v>7.0629437229437222E-2</v>
      </c>
      <c r="W42" s="2"/>
      <c r="X42" s="6">
        <f t="shared" si="26"/>
        <v>3053.6200000000008</v>
      </c>
      <c r="Y42" s="2"/>
      <c r="Z42" s="7">
        <f t="shared" si="27"/>
        <v>0.31193637095423149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6">
        <v>16392.32</v>
      </c>
      <c r="E44" s="2"/>
      <c r="F44" s="7">
        <f t="shared" si="20"/>
        <v>7.0996594811303548E-2</v>
      </c>
      <c r="G44" s="2"/>
      <c r="H44" s="6">
        <v>30264</v>
      </c>
      <c r="I44" s="2"/>
      <c r="J44" s="7">
        <f t="shared" si="21"/>
        <v>0.21835497835497836</v>
      </c>
      <c r="K44" s="2"/>
      <c r="L44" s="6">
        <f t="shared" si="22"/>
        <v>-13871.68</v>
      </c>
      <c r="M44" s="2"/>
      <c r="N44" s="7">
        <f t="shared" si="23"/>
        <v>-0.45835580227332806</v>
      </c>
      <c r="O44" s="11"/>
      <c r="P44" s="6">
        <v>23670.11</v>
      </c>
      <c r="Q44" s="2"/>
      <c r="R44" s="7">
        <f t="shared" si="24"/>
        <v>9.3234863279999844E-2</v>
      </c>
      <c r="S44" s="2"/>
      <c r="T44" s="6">
        <v>30264</v>
      </c>
      <c r="U44" s="2"/>
      <c r="V44" s="7">
        <f t="shared" si="25"/>
        <v>0.21835497835497836</v>
      </c>
      <c r="W44" s="2"/>
      <c r="X44" s="6">
        <f t="shared" si="26"/>
        <v>-6593.8899999999994</v>
      </c>
      <c r="Y44" s="2"/>
      <c r="Z44" s="7">
        <f t="shared" si="27"/>
        <v>-0.2178789981496167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1629.46</v>
      </c>
      <c r="E45" s="2"/>
      <c r="F45" s="7">
        <f t="shared" si="20"/>
        <v>7.0573360806296297E-3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1629.46</v>
      </c>
      <c r="M45" s="2"/>
      <c r="N45" s="7">
        <f t="shared" si="23"/>
        <v>0</v>
      </c>
      <c r="O45" s="11"/>
      <c r="P45" s="6">
        <v>1629.46</v>
      </c>
      <c r="Q45" s="2"/>
      <c r="R45" s="7">
        <f t="shared" si="24"/>
        <v>6.4183259106201261E-3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1629.46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3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624.13</v>
      </c>
      <c r="E48" s="1"/>
      <c r="F48" s="5">
        <f t="shared" ref="F48:F68" si="28">IF(D$12=0,0,D48/D$12)</f>
        <v>2.7031625004623437E-3</v>
      </c>
      <c r="G48" s="1"/>
      <c r="H48" s="1">
        <f>SUM(OSRRefH22_2x_0)</f>
        <v>738</v>
      </c>
      <c r="I48" s="1"/>
      <c r="J48" s="5">
        <f t="shared" ref="J48:J68" si="29">IF(H$12=0,0,H48/H$12)</f>
        <v>5.3246753246753249E-3</v>
      </c>
      <c r="K48" s="1"/>
      <c r="L48" s="1">
        <f t="shared" ref="L48:L68" si="30">+D48-H48</f>
        <v>-113.87</v>
      </c>
      <c r="M48" s="1"/>
      <c r="N48" s="5">
        <f t="shared" ref="N48:N68" si="31">IF(H48=0,0,L48/H48)</f>
        <v>-0.15429539295392955</v>
      </c>
      <c r="O48" s="14"/>
      <c r="P48" s="1">
        <f>SUM(OSRRefP22_2x_0)</f>
        <v>664.44</v>
      </c>
      <c r="Q48" s="1"/>
      <c r="R48" s="5">
        <f t="shared" ref="R48:R68" si="32">IF(P$12=0,0,P48/P$12)</f>
        <v>2.6171814392819933E-3</v>
      </c>
      <c r="S48" s="1"/>
      <c r="T48" s="1">
        <f>SUM(OSRRefT22_2x_0)</f>
        <v>738</v>
      </c>
      <c r="U48" s="1"/>
      <c r="V48" s="5">
        <f t="shared" ref="V48:V68" si="33">IF(T$12=0,0,T48/T$12)</f>
        <v>5.3246753246753249E-3</v>
      </c>
      <c r="W48" s="1"/>
      <c r="X48" s="1">
        <f t="shared" ref="X48:X68" si="34">+P48-T48</f>
        <v>-73.559999999999945</v>
      </c>
      <c r="Y48" s="1"/>
      <c r="Z48" s="5">
        <f t="shared" ref="Z48:Z68" si="35">IF(T48=0,0,X48/T48)</f>
        <v>-9.9674796747967406E-2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624.13</v>
      </c>
      <c r="E49" s="2"/>
      <c r="F49" s="7">
        <f t="shared" si="28"/>
        <v>2.7031625004623437E-3</v>
      </c>
      <c r="G49" s="2"/>
      <c r="H49" s="6">
        <v>738</v>
      </c>
      <c r="I49" s="2"/>
      <c r="J49" s="7">
        <f t="shared" si="29"/>
        <v>5.3246753246753249E-3</v>
      </c>
      <c r="K49" s="2"/>
      <c r="L49" s="6">
        <f t="shared" si="30"/>
        <v>-113.87</v>
      </c>
      <c r="M49" s="2"/>
      <c r="N49" s="7">
        <f t="shared" si="31"/>
        <v>-0.15429539295392955</v>
      </c>
      <c r="O49" s="11"/>
      <c r="P49" s="6">
        <v>664.44</v>
      </c>
      <c r="Q49" s="2"/>
      <c r="R49" s="7">
        <f t="shared" si="32"/>
        <v>2.6171814392819933E-3</v>
      </c>
      <c r="S49" s="2"/>
      <c r="T49" s="6">
        <v>738</v>
      </c>
      <c r="U49" s="2"/>
      <c r="V49" s="7">
        <f t="shared" si="33"/>
        <v>5.3246753246753249E-3</v>
      </c>
      <c r="W49" s="2"/>
      <c r="X49" s="6">
        <f t="shared" si="34"/>
        <v>-73.559999999999945</v>
      </c>
      <c r="Y49" s="2"/>
      <c r="Z49" s="7">
        <f t="shared" si="35"/>
        <v>-9.9674796747967406E-2</v>
      </c>
    </row>
    <row r="50" spans="1:26" s="28" customFormat="1" outlineLevel="1" collapsed="1" x14ac:dyDescent="0.3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5.772005772005772E-5</v>
      </c>
      <c r="K50" s="1"/>
      <c r="L50" s="1">
        <f t="shared" si="30"/>
        <v>-8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8</v>
      </c>
      <c r="U50" s="1"/>
      <c r="V50" s="5">
        <f t="shared" si="33"/>
        <v>5.772005772005772E-5</v>
      </c>
      <c r="W50" s="1"/>
      <c r="X50" s="1">
        <f t="shared" si="34"/>
        <v>-8</v>
      </c>
      <c r="Y50" s="1"/>
      <c r="Z50" s="5">
        <f t="shared" si="35"/>
        <v>-1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8</v>
      </c>
      <c r="I51" s="2"/>
      <c r="J51" s="7">
        <f t="shared" si="29"/>
        <v>5.772005772005772E-5</v>
      </c>
      <c r="K51" s="2"/>
      <c r="L51" s="6">
        <f t="shared" si="30"/>
        <v>-8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8</v>
      </c>
      <c r="U51" s="2"/>
      <c r="V51" s="7">
        <f t="shared" si="33"/>
        <v>5.772005772005772E-5</v>
      </c>
      <c r="W51" s="2"/>
      <c r="X51" s="6">
        <f t="shared" si="34"/>
        <v>-8</v>
      </c>
      <c r="Y51" s="2"/>
      <c r="Z51" s="7">
        <f t="shared" si="35"/>
        <v>-1</v>
      </c>
    </row>
    <row r="52" spans="1:26" s="28" customFormat="1" outlineLevel="1" collapsed="1" x14ac:dyDescent="0.3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40.56</v>
      </c>
      <c r="E52" s="1"/>
      <c r="F52" s="5">
        <f t="shared" si="28"/>
        <v>1.756689648290463E-4</v>
      </c>
      <c r="G52" s="1"/>
      <c r="H52" s="1">
        <f>SUM(OSRRefH22_4x_0)</f>
        <v>135</v>
      </c>
      <c r="I52" s="1"/>
      <c r="J52" s="5">
        <f t="shared" si="29"/>
        <v>9.7402597402597403E-4</v>
      </c>
      <c r="K52" s="1"/>
      <c r="L52" s="1">
        <f t="shared" si="30"/>
        <v>-94.44</v>
      </c>
      <c r="M52" s="1"/>
      <c r="N52" s="5">
        <f t="shared" si="31"/>
        <v>-0.69955555555555549</v>
      </c>
      <c r="O52" s="14"/>
      <c r="P52" s="1">
        <f>SUM(OSRRefP22_4x_0)</f>
        <v>117.61</v>
      </c>
      <c r="Q52" s="1"/>
      <c r="R52" s="5">
        <f t="shared" si="32"/>
        <v>4.6325734313701041E-4</v>
      </c>
      <c r="S52" s="1"/>
      <c r="T52" s="1">
        <f>SUM(OSRRefT22_4x_0)</f>
        <v>135</v>
      </c>
      <c r="U52" s="1"/>
      <c r="V52" s="5">
        <f t="shared" si="33"/>
        <v>9.7402597402597403E-4</v>
      </c>
      <c r="W52" s="1"/>
      <c r="X52" s="1">
        <f t="shared" si="34"/>
        <v>-17.39</v>
      </c>
      <c r="Y52" s="1"/>
      <c r="Z52" s="5">
        <f t="shared" si="35"/>
        <v>-0.12881481481481483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40.56</v>
      </c>
      <c r="E53" s="2"/>
      <c r="F53" s="7">
        <f t="shared" si="28"/>
        <v>1.756689648290463E-4</v>
      </c>
      <c r="G53" s="2"/>
      <c r="H53" s="6">
        <v>135</v>
      </c>
      <c r="I53" s="2"/>
      <c r="J53" s="7">
        <f t="shared" si="29"/>
        <v>9.7402597402597403E-4</v>
      </c>
      <c r="K53" s="2"/>
      <c r="L53" s="6">
        <f t="shared" si="30"/>
        <v>-94.44</v>
      </c>
      <c r="M53" s="2"/>
      <c r="N53" s="7">
        <f t="shared" si="31"/>
        <v>-0.69955555555555549</v>
      </c>
      <c r="O53" s="11"/>
      <c r="P53" s="6">
        <v>117.61</v>
      </c>
      <c r="Q53" s="2"/>
      <c r="R53" s="7">
        <f t="shared" si="32"/>
        <v>4.6325734313701041E-4</v>
      </c>
      <c r="S53" s="2"/>
      <c r="T53" s="6">
        <v>135</v>
      </c>
      <c r="U53" s="2"/>
      <c r="V53" s="7">
        <f t="shared" si="33"/>
        <v>9.7402597402597403E-4</v>
      </c>
      <c r="W53" s="2"/>
      <c r="X53" s="6">
        <f t="shared" si="34"/>
        <v>-17.39</v>
      </c>
      <c r="Y53" s="2"/>
      <c r="Z53" s="7">
        <f t="shared" si="35"/>
        <v>-0.12881481481481483</v>
      </c>
    </row>
    <row r="54" spans="1:26" s="28" customFormat="1" outlineLevel="1" collapsed="1" x14ac:dyDescent="0.3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1.1845961185994193E-3</v>
      </c>
      <c r="G54" s="1"/>
      <c r="H54" s="1">
        <f>SUM(OSRRefH22_5x_0)</f>
        <v>273</v>
      </c>
      <c r="I54" s="1"/>
      <c r="J54" s="5">
        <f t="shared" si="29"/>
        <v>1.9696969696969698E-3</v>
      </c>
      <c r="K54" s="1"/>
      <c r="L54" s="1">
        <f t="shared" si="30"/>
        <v>0.50999999999999091</v>
      </c>
      <c r="M54" s="1"/>
      <c r="N54" s="5">
        <f t="shared" si="31"/>
        <v>1.8681318681318347E-3</v>
      </c>
      <c r="O54" s="14"/>
      <c r="P54" s="1">
        <f>SUM(OSRRefP22_5x_0)</f>
        <v>547.02</v>
      </c>
      <c r="Q54" s="1"/>
      <c r="R54" s="5">
        <f t="shared" si="32"/>
        <v>2.1546724924990006E-3</v>
      </c>
      <c r="S54" s="1"/>
      <c r="T54" s="1">
        <f>SUM(OSRRefT22_5x_0)</f>
        <v>546</v>
      </c>
      <c r="U54" s="1"/>
      <c r="V54" s="5">
        <f t="shared" si="33"/>
        <v>3.9393939393939396E-3</v>
      </c>
      <c r="W54" s="1"/>
      <c r="X54" s="1">
        <f t="shared" si="34"/>
        <v>1.0199999999999818</v>
      </c>
      <c r="Y54" s="1"/>
      <c r="Z54" s="5">
        <f t="shared" si="35"/>
        <v>1.8681318681318347E-3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273.51</v>
      </c>
      <c r="E55" s="2"/>
      <c r="F55" s="7">
        <f t="shared" si="28"/>
        <v>1.1845961185994193E-3</v>
      </c>
      <c r="G55" s="2"/>
      <c r="H55" s="6">
        <v>273</v>
      </c>
      <c r="I55" s="2"/>
      <c r="J55" s="7">
        <f t="shared" si="29"/>
        <v>1.9696969696969698E-3</v>
      </c>
      <c r="K55" s="2"/>
      <c r="L55" s="6">
        <f t="shared" si="30"/>
        <v>0.50999999999999091</v>
      </c>
      <c r="M55" s="2"/>
      <c r="N55" s="7">
        <f t="shared" si="31"/>
        <v>1.8681318681318347E-3</v>
      </c>
      <c r="O55" s="11"/>
      <c r="P55" s="6">
        <v>547.02</v>
      </c>
      <c r="Q55" s="2"/>
      <c r="R55" s="7">
        <f t="shared" si="32"/>
        <v>2.1546724924990006E-3</v>
      </c>
      <c r="S55" s="2"/>
      <c r="T55" s="6">
        <v>546</v>
      </c>
      <c r="U55" s="2"/>
      <c r="V55" s="7">
        <f t="shared" si="33"/>
        <v>3.9393939393939396E-3</v>
      </c>
      <c r="W55" s="2"/>
      <c r="X55" s="6">
        <f t="shared" si="34"/>
        <v>1.0199999999999818</v>
      </c>
      <c r="Y55" s="2"/>
      <c r="Z55" s="7">
        <f t="shared" si="35"/>
        <v>1.8681318681318347E-3</v>
      </c>
    </row>
    <row r="56" spans="1:26" s="28" customFormat="1" outlineLevel="1" collapsed="1" x14ac:dyDescent="0.3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1458.85</v>
      </c>
      <c r="E56" s="1"/>
      <c r="F56" s="5">
        <f t="shared" si="28"/>
        <v>6.318409007417509E-3</v>
      </c>
      <c r="G56" s="1"/>
      <c r="H56" s="1">
        <f>SUM(OSRRefH22_6x_0)</f>
        <v>6500</v>
      </c>
      <c r="I56" s="1"/>
      <c r="J56" s="5">
        <f t="shared" si="29"/>
        <v>4.6897546897546896E-2</v>
      </c>
      <c r="K56" s="1"/>
      <c r="L56" s="1">
        <f t="shared" si="30"/>
        <v>-5041.1499999999996</v>
      </c>
      <c r="M56" s="1"/>
      <c r="N56" s="5">
        <f t="shared" si="31"/>
        <v>-0.77556153846153841</v>
      </c>
      <c r="O56" s="14"/>
      <c r="P56" s="1">
        <f>SUM(OSRRefP22_6x_0)</f>
        <v>1458.85</v>
      </c>
      <c r="Q56" s="1"/>
      <c r="R56" s="5">
        <f t="shared" si="32"/>
        <v>5.7463053739939427E-3</v>
      </c>
      <c r="S56" s="1"/>
      <c r="T56" s="1">
        <f>SUM(OSRRefT22_6x_0)</f>
        <v>6500</v>
      </c>
      <c r="U56" s="1"/>
      <c r="V56" s="5">
        <f t="shared" si="33"/>
        <v>4.6897546897546896E-2</v>
      </c>
      <c r="W56" s="1"/>
      <c r="X56" s="1">
        <f t="shared" si="34"/>
        <v>-5041.1499999999996</v>
      </c>
      <c r="Y56" s="1"/>
      <c r="Z56" s="5">
        <f t="shared" si="35"/>
        <v>-0.77556153846153841</v>
      </c>
    </row>
    <row r="57" spans="1:26" s="24" customFormat="1" hidden="1" outlineLevel="2" x14ac:dyDescent="0.3">
      <c r="A57" s="27"/>
      <c r="B57" s="11" t="str">
        <f>CONCATENATE("          ", "6399", " - ", "DONATION-ON CAMPUS")</f>
        <v xml:space="preserve">          6399 - DONATION-ON CAMPUS</v>
      </c>
      <c r="C57" s="11"/>
      <c r="D57" s="6">
        <v>1458.85</v>
      </c>
      <c r="E57" s="2"/>
      <c r="F57" s="7">
        <f t="shared" si="28"/>
        <v>6.318409007417509E-3</v>
      </c>
      <c r="G57" s="2"/>
      <c r="H57" s="6">
        <v>6500</v>
      </c>
      <c r="I57" s="2"/>
      <c r="J57" s="7">
        <f t="shared" si="29"/>
        <v>4.6897546897546896E-2</v>
      </c>
      <c r="K57" s="2"/>
      <c r="L57" s="6">
        <f t="shared" si="30"/>
        <v>-5041.1499999999996</v>
      </c>
      <c r="M57" s="2"/>
      <c r="N57" s="7">
        <f t="shared" si="31"/>
        <v>-0.77556153846153841</v>
      </c>
      <c r="O57" s="11"/>
      <c r="P57" s="6">
        <v>1458.85</v>
      </c>
      <c r="Q57" s="2"/>
      <c r="R57" s="7">
        <f t="shared" si="32"/>
        <v>5.7463053739939427E-3</v>
      </c>
      <c r="S57" s="2"/>
      <c r="T57" s="6">
        <v>6500</v>
      </c>
      <c r="U57" s="2"/>
      <c r="V57" s="7">
        <f t="shared" si="33"/>
        <v>4.6897546897546896E-2</v>
      </c>
      <c r="W57" s="2"/>
      <c r="X57" s="6">
        <f t="shared" si="34"/>
        <v>-5041.1499999999996</v>
      </c>
      <c r="Y57" s="2"/>
      <c r="Z57" s="7">
        <f t="shared" si="35"/>
        <v>-0.77556153846153841</v>
      </c>
    </row>
    <row r="58" spans="1:26" s="28" customFormat="1" outlineLevel="1" collapsed="1" x14ac:dyDescent="0.3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1.0822510822510823E-3</v>
      </c>
      <c r="K58" s="1"/>
      <c r="L58" s="1">
        <f t="shared" si="30"/>
        <v>-150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300</v>
      </c>
      <c r="U58" s="1"/>
      <c r="V58" s="5">
        <f t="shared" si="33"/>
        <v>2.1645021645021645E-3</v>
      </c>
      <c r="W58" s="1"/>
      <c r="X58" s="1">
        <f t="shared" si="34"/>
        <v>-300</v>
      </c>
      <c r="Y58" s="1"/>
      <c r="Z58" s="5">
        <f t="shared" si="35"/>
        <v>-1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150</v>
      </c>
      <c r="I59" s="2"/>
      <c r="J59" s="7">
        <f t="shared" si="29"/>
        <v>1.0822510822510823E-3</v>
      </c>
      <c r="K59" s="2"/>
      <c r="L59" s="6">
        <f t="shared" si="30"/>
        <v>-150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300</v>
      </c>
      <c r="U59" s="2"/>
      <c r="V59" s="7">
        <f t="shared" si="33"/>
        <v>2.1645021645021645E-3</v>
      </c>
      <c r="W59" s="2"/>
      <c r="X59" s="6">
        <f t="shared" si="34"/>
        <v>-300</v>
      </c>
      <c r="Y59" s="2"/>
      <c r="Z59" s="7">
        <f t="shared" si="35"/>
        <v>-1</v>
      </c>
    </row>
    <row r="60" spans="1:26" s="28" customFormat="1" outlineLevel="1" collapsed="1" x14ac:dyDescent="0.3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265.36</v>
      </c>
      <c r="E60" s="1"/>
      <c r="F60" s="5">
        <f t="shared" si="28"/>
        <v>1.1492977442563049E-3</v>
      </c>
      <c r="G60" s="1"/>
      <c r="H60" s="1">
        <f>SUM(OSRRefH22_8x_0)</f>
        <v>295</v>
      </c>
      <c r="I60" s="1"/>
      <c r="J60" s="5">
        <f t="shared" si="29"/>
        <v>2.1284271284271283E-3</v>
      </c>
      <c r="K60" s="1"/>
      <c r="L60" s="1">
        <f t="shared" si="30"/>
        <v>-29.639999999999986</v>
      </c>
      <c r="M60" s="1"/>
      <c r="N60" s="5">
        <f t="shared" si="31"/>
        <v>-0.10047457627118639</v>
      </c>
      <c r="O60" s="14"/>
      <c r="P60" s="1">
        <f>SUM(OSRRefP22_8x_0)</f>
        <v>692.46</v>
      </c>
      <c r="Q60" s="1"/>
      <c r="R60" s="5">
        <f t="shared" si="32"/>
        <v>2.7275502068587216E-3</v>
      </c>
      <c r="S60" s="1"/>
      <c r="T60" s="1">
        <f>SUM(OSRRefT22_8x_0)</f>
        <v>590</v>
      </c>
      <c r="U60" s="1"/>
      <c r="V60" s="5">
        <f t="shared" si="33"/>
        <v>4.2568542568542566E-3</v>
      </c>
      <c r="W60" s="1"/>
      <c r="X60" s="1">
        <f t="shared" si="34"/>
        <v>102.46000000000004</v>
      </c>
      <c r="Y60" s="1"/>
      <c r="Z60" s="5">
        <f t="shared" si="35"/>
        <v>0.17366101694915259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265.36</v>
      </c>
      <c r="E61" s="2"/>
      <c r="F61" s="7">
        <f t="shared" si="28"/>
        <v>1.1492977442563049E-3</v>
      </c>
      <c r="G61" s="2"/>
      <c r="H61" s="6">
        <v>295</v>
      </c>
      <c r="I61" s="2"/>
      <c r="J61" s="7">
        <f t="shared" si="29"/>
        <v>2.1284271284271283E-3</v>
      </c>
      <c r="K61" s="2"/>
      <c r="L61" s="6">
        <f t="shared" si="30"/>
        <v>-29.639999999999986</v>
      </c>
      <c r="M61" s="2"/>
      <c r="N61" s="7">
        <f t="shared" si="31"/>
        <v>-0.10047457627118639</v>
      </c>
      <c r="O61" s="11"/>
      <c r="P61" s="6">
        <v>692.46</v>
      </c>
      <c r="Q61" s="2"/>
      <c r="R61" s="7">
        <f t="shared" si="32"/>
        <v>2.7275502068587216E-3</v>
      </c>
      <c r="S61" s="2"/>
      <c r="T61" s="6">
        <v>590</v>
      </c>
      <c r="U61" s="2"/>
      <c r="V61" s="7">
        <f t="shared" si="33"/>
        <v>4.2568542568542566E-3</v>
      </c>
      <c r="W61" s="2"/>
      <c r="X61" s="6">
        <f t="shared" si="34"/>
        <v>102.46000000000004</v>
      </c>
      <c r="Y61" s="2"/>
      <c r="Z61" s="7">
        <f t="shared" si="35"/>
        <v>0.17366101694915259</v>
      </c>
    </row>
    <row r="62" spans="1:26" s="28" customFormat="1" outlineLevel="1" collapsed="1" x14ac:dyDescent="0.3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1469.55</v>
      </c>
      <c r="E62" s="1"/>
      <c r="F62" s="5">
        <f t="shared" si="28"/>
        <v>6.3647516583955855E-3</v>
      </c>
      <c r="G62" s="1"/>
      <c r="H62" s="1">
        <f>SUM(OSRRefH22_9x_0)</f>
        <v>180</v>
      </c>
      <c r="I62" s="1"/>
      <c r="J62" s="5">
        <f t="shared" si="29"/>
        <v>1.2987012987012987E-3</v>
      </c>
      <c r="K62" s="1"/>
      <c r="L62" s="1">
        <f t="shared" si="30"/>
        <v>1289.55</v>
      </c>
      <c r="M62" s="1"/>
      <c r="N62" s="5">
        <f t="shared" si="31"/>
        <v>7.1641666666666666</v>
      </c>
      <c r="O62" s="14"/>
      <c r="P62" s="1">
        <f>SUM(OSRRefP22_9x_0)</f>
        <v>1557.93</v>
      </c>
      <c r="Q62" s="1"/>
      <c r="R62" s="5">
        <f t="shared" si="32"/>
        <v>6.1365743779733242E-3</v>
      </c>
      <c r="S62" s="1"/>
      <c r="T62" s="1">
        <f>SUM(OSRRefT22_9x_0)</f>
        <v>1930</v>
      </c>
      <c r="U62" s="1"/>
      <c r="V62" s="5">
        <f t="shared" si="33"/>
        <v>1.3924963924963925E-2</v>
      </c>
      <c r="W62" s="1"/>
      <c r="X62" s="1">
        <f t="shared" si="34"/>
        <v>-372.06999999999994</v>
      </c>
      <c r="Y62" s="1"/>
      <c r="Z62" s="5">
        <f t="shared" si="35"/>
        <v>-0.19278238341968909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6">
        <v>1469.55</v>
      </c>
      <c r="E63" s="2"/>
      <c r="F63" s="7">
        <f t="shared" si="28"/>
        <v>6.3647516583955855E-3</v>
      </c>
      <c r="G63" s="2"/>
      <c r="H63" s="6">
        <v>180</v>
      </c>
      <c r="I63" s="2"/>
      <c r="J63" s="7">
        <f t="shared" si="29"/>
        <v>1.2987012987012987E-3</v>
      </c>
      <c r="K63" s="2"/>
      <c r="L63" s="6">
        <f t="shared" si="30"/>
        <v>1289.55</v>
      </c>
      <c r="M63" s="2"/>
      <c r="N63" s="7">
        <f t="shared" si="31"/>
        <v>7.1641666666666666</v>
      </c>
      <c r="O63" s="11"/>
      <c r="P63" s="6">
        <v>1557.93</v>
      </c>
      <c r="Q63" s="2"/>
      <c r="R63" s="7">
        <f t="shared" si="32"/>
        <v>6.1365743779733242E-3</v>
      </c>
      <c r="S63" s="2"/>
      <c r="T63" s="6">
        <v>1930</v>
      </c>
      <c r="U63" s="2"/>
      <c r="V63" s="7">
        <f t="shared" si="33"/>
        <v>1.3924963924963925E-2</v>
      </c>
      <c r="W63" s="2"/>
      <c r="X63" s="6">
        <f t="shared" si="34"/>
        <v>-372.06999999999994</v>
      </c>
      <c r="Y63" s="2"/>
      <c r="Z63" s="7">
        <f t="shared" si="35"/>
        <v>-0.19278238341968909</v>
      </c>
    </row>
    <row r="64" spans="1:26" s="28" customFormat="1" outlineLevel="1" collapsed="1" x14ac:dyDescent="0.3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18625.39</v>
      </c>
      <c r="E64" s="1"/>
      <c r="F64" s="5">
        <f t="shared" si="28"/>
        <v>8.0668219448650644E-2</v>
      </c>
      <c r="G64" s="1"/>
      <c r="H64" s="1">
        <f>SUM(OSRRefH22_10x_0)</f>
        <v>11088</v>
      </c>
      <c r="I64" s="1"/>
      <c r="J64" s="5">
        <f t="shared" si="29"/>
        <v>0.08</v>
      </c>
      <c r="K64" s="1"/>
      <c r="L64" s="1">
        <f t="shared" si="30"/>
        <v>7537.3899999999994</v>
      </c>
      <c r="M64" s="1"/>
      <c r="N64" s="5">
        <f t="shared" si="31"/>
        <v>0.67977904040404036</v>
      </c>
      <c r="O64" s="14"/>
      <c r="P64" s="1">
        <f>SUM(OSRRefP22_10x_0)</f>
        <v>20193.39</v>
      </c>
      <c r="Q64" s="1"/>
      <c r="R64" s="5">
        <f t="shared" si="32"/>
        <v>7.9540312901364471E-2</v>
      </c>
      <c r="S64" s="1"/>
      <c r="T64" s="1">
        <f>SUM(OSRRefT22_10x_0)</f>
        <v>11088</v>
      </c>
      <c r="U64" s="1"/>
      <c r="V64" s="5">
        <f t="shared" si="33"/>
        <v>0.08</v>
      </c>
      <c r="W64" s="1"/>
      <c r="X64" s="1">
        <f t="shared" si="34"/>
        <v>9105.39</v>
      </c>
      <c r="Y64" s="1"/>
      <c r="Z64" s="5">
        <f t="shared" si="35"/>
        <v>0.82119318181818179</v>
      </c>
    </row>
    <row r="65" spans="1:26" s="24" customFormat="1" hidden="1" outlineLevel="2" x14ac:dyDescent="0.3">
      <c r="A65" s="27"/>
      <c r="B65" s="11" t="str">
        <f>CONCATENATE("          ", "6387", " - ", "COMMISSION DUE HOUSING")</f>
        <v xml:space="preserve">          6387 - COMMISSION DUE HOUSING</v>
      </c>
      <c r="C65" s="11"/>
      <c r="D65" s="6">
        <v>18625.39</v>
      </c>
      <c r="E65" s="2"/>
      <c r="F65" s="7">
        <f t="shared" si="28"/>
        <v>8.0668219448650644E-2</v>
      </c>
      <c r="G65" s="2"/>
      <c r="H65" s="6">
        <v>11088</v>
      </c>
      <c r="I65" s="2"/>
      <c r="J65" s="7">
        <f t="shared" si="29"/>
        <v>0.08</v>
      </c>
      <c r="K65" s="2"/>
      <c r="L65" s="6">
        <f t="shared" si="30"/>
        <v>7537.3899999999994</v>
      </c>
      <c r="M65" s="2"/>
      <c r="N65" s="7">
        <f t="shared" si="31"/>
        <v>0.67977904040404036</v>
      </c>
      <c r="O65" s="11"/>
      <c r="P65" s="6">
        <v>20193.39</v>
      </c>
      <c r="Q65" s="2"/>
      <c r="R65" s="7">
        <f t="shared" si="32"/>
        <v>7.9540312901364471E-2</v>
      </c>
      <c r="S65" s="2"/>
      <c r="T65" s="6">
        <v>11088</v>
      </c>
      <c r="U65" s="2"/>
      <c r="V65" s="7">
        <f t="shared" si="33"/>
        <v>0.08</v>
      </c>
      <c r="W65" s="2"/>
      <c r="X65" s="6">
        <f t="shared" si="34"/>
        <v>9105.39</v>
      </c>
      <c r="Y65" s="2"/>
      <c r="Z65" s="7">
        <f t="shared" si="35"/>
        <v>0.82119318181818179</v>
      </c>
    </row>
    <row r="66" spans="1:26" s="28" customFormat="1" outlineLevel="1" collapsed="1" x14ac:dyDescent="0.3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42.3</v>
      </c>
      <c r="E66" s="1"/>
      <c r="F66" s="5">
        <f t="shared" si="28"/>
        <v>1.8320505947407931E-4</v>
      </c>
      <c r="G66" s="1"/>
      <c r="H66" s="1">
        <f>SUM(OSRRefH22_11x_0)</f>
        <v>200</v>
      </c>
      <c r="I66" s="1"/>
      <c r="J66" s="5">
        <f t="shared" si="29"/>
        <v>1.443001443001443E-3</v>
      </c>
      <c r="K66" s="1"/>
      <c r="L66" s="1">
        <f t="shared" si="30"/>
        <v>-157.69999999999999</v>
      </c>
      <c r="M66" s="1"/>
      <c r="N66" s="5">
        <f t="shared" si="31"/>
        <v>-0.78849999999999998</v>
      </c>
      <c r="O66" s="14"/>
      <c r="P66" s="1">
        <f>SUM(OSRRefP22_11x_0)</f>
        <v>671.3</v>
      </c>
      <c r="Q66" s="1"/>
      <c r="R66" s="5">
        <f t="shared" si="32"/>
        <v>2.6442024865902143E-3</v>
      </c>
      <c r="S66" s="1"/>
      <c r="T66" s="1">
        <f>SUM(OSRRefT22_11x_0)</f>
        <v>400</v>
      </c>
      <c r="U66" s="1"/>
      <c r="V66" s="5">
        <f t="shared" si="33"/>
        <v>2.886002886002886E-3</v>
      </c>
      <c r="W66" s="1"/>
      <c r="X66" s="1">
        <f t="shared" si="34"/>
        <v>271.29999999999995</v>
      </c>
      <c r="Y66" s="1"/>
      <c r="Z66" s="5">
        <f t="shared" si="35"/>
        <v>0.67824999999999991</v>
      </c>
    </row>
    <row r="67" spans="1:26" s="24" customFormat="1" hidden="1" outlineLevel="2" x14ac:dyDescent="0.3">
      <c r="A67" s="27"/>
      <c r="B67" s="11" t="str">
        <f>CONCATENATE("          ", "6373", " - ", "MAINTENANCE CONTRACTS")</f>
        <v xml:space="preserve">          6373 - MAINTENANCE CONTRACTS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14</v>
      </c>
      <c r="Q67" s="2"/>
      <c r="R67" s="7">
        <f t="shared" si="32"/>
        <v>5.5144994506573812E-5</v>
      </c>
      <c r="S67" s="2"/>
      <c r="T67" s="6"/>
      <c r="U67" s="2"/>
      <c r="V67" s="7">
        <f t="shared" si="33"/>
        <v>0</v>
      </c>
      <c r="W67" s="2"/>
      <c r="X67" s="6">
        <f t="shared" si="34"/>
        <v>14</v>
      </c>
      <c r="Y67" s="2"/>
      <c r="Z67" s="7">
        <f t="shared" si="35"/>
        <v>0</v>
      </c>
    </row>
    <row r="68" spans="1:26" s="24" customFormat="1" hidden="1" outlineLevel="2" x14ac:dyDescent="0.3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42.3</v>
      </c>
      <c r="E68" s="2"/>
      <c r="F68" s="7">
        <f t="shared" si="28"/>
        <v>1.8320505947407931E-4</v>
      </c>
      <c r="G68" s="2"/>
      <c r="H68" s="6">
        <v>200</v>
      </c>
      <c r="I68" s="2"/>
      <c r="J68" s="7">
        <f t="shared" si="29"/>
        <v>1.443001443001443E-3</v>
      </c>
      <c r="K68" s="2"/>
      <c r="L68" s="6">
        <f t="shared" si="30"/>
        <v>-157.69999999999999</v>
      </c>
      <c r="M68" s="2"/>
      <c r="N68" s="7">
        <f t="shared" si="31"/>
        <v>-0.78849999999999998</v>
      </c>
      <c r="O68" s="11"/>
      <c r="P68" s="6">
        <v>657.3</v>
      </c>
      <c r="Q68" s="2"/>
      <c r="R68" s="7">
        <f t="shared" si="32"/>
        <v>2.5890574920836404E-3</v>
      </c>
      <c r="S68" s="2"/>
      <c r="T68" s="6">
        <v>400</v>
      </c>
      <c r="U68" s="2"/>
      <c r="V68" s="7">
        <f t="shared" si="33"/>
        <v>2.886002886002886E-3</v>
      </c>
      <c r="W68" s="2"/>
      <c r="X68" s="6">
        <f t="shared" si="34"/>
        <v>257.29999999999995</v>
      </c>
      <c r="Y68" s="2"/>
      <c r="Z68" s="7">
        <f t="shared" si="35"/>
        <v>0.64324999999999988</v>
      </c>
    </row>
    <row r="69" spans="1:26" s="28" customFormat="1" outlineLevel="1" collapsed="1" x14ac:dyDescent="0.3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6091.05</v>
      </c>
      <c r="E69" s="1"/>
      <c r="F69" s="5">
        <f t="shared" ref="F69:F73" si="36">IF(D$12=0,0,D69/D$12)</f>
        <v>2.6380878900935958E-2</v>
      </c>
      <c r="G69" s="1"/>
      <c r="H69" s="1">
        <f>SUM(OSRRefH22_12x_0)</f>
        <v>7150</v>
      </c>
      <c r="I69" s="1"/>
      <c r="J69" s="5">
        <f t="shared" ref="J69:J73" si="37">IF(H$12=0,0,H69/H$12)</f>
        <v>5.1587301587301584E-2</v>
      </c>
      <c r="K69" s="1"/>
      <c r="L69" s="1">
        <f t="shared" ref="L69:L73" si="38">+D69-H69</f>
        <v>-1058.9499999999998</v>
      </c>
      <c r="M69" s="1"/>
      <c r="N69" s="5">
        <f t="shared" ref="N69:N73" si="39">IF(H69=0,0,L69/H69)</f>
        <v>-0.14810489510489508</v>
      </c>
      <c r="O69" s="14"/>
      <c r="P69" s="1">
        <f>SUM(OSRRefP22_12x_0)</f>
        <v>11903.95</v>
      </c>
      <c r="Q69" s="1"/>
      <c r="R69" s="5">
        <f t="shared" ref="R69:R73" si="40">IF(P$12=0,0,P69/P$12)</f>
        <v>4.6888804096894957E-2</v>
      </c>
      <c r="S69" s="1"/>
      <c r="T69" s="1">
        <f>SUM(OSRRefT22_12x_0)</f>
        <v>14300</v>
      </c>
      <c r="U69" s="1"/>
      <c r="V69" s="5">
        <f t="shared" ref="V69:V73" si="41">IF(T$12=0,0,T69/T$12)</f>
        <v>0.10317460317460317</v>
      </c>
      <c r="W69" s="1"/>
      <c r="X69" s="1">
        <f t="shared" ref="X69:X73" si="42">+P69-T69</f>
        <v>-2396.0499999999993</v>
      </c>
      <c r="Y69" s="1"/>
      <c r="Z69" s="5">
        <f t="shared" ref="Z69:Z73" si="43">IF(T69=0,0,X69/T69)</f>
        <v>-0.16755594405594401</v>
      </c>
    </row>
    <row r="70" spans="1:26" s="24" customFormat="1" hidden="1" outlineLevel="2" x14ac:dyDescent="0.3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421.34</v>
      </c>
      <c r="E70" s="2"/>
      <c r="F70" s="7">
        <f t="shared" si="36"/>
        <v>1.8248609872058767E-3</v>
      </c>
      <c r="G70" s="2"/>
      <c r="H70" s="6">
        <v>450</v>
      </c>
      <c r="I70" s="2"/>
      <c r="J70" s="7">
        <f t="shared" si="37"/>
        <v>3.246753246753247E-3</v>
      </c>
      <c r="K70" s="2"/>
      <c r="L70" s="6">
        <f t="shared" si="38"/>
        <v>-28.660000000000025</v>
      </c>
      <c r="M70" s="2"/>
      <c r="N70" s="7">
        <f t="shared" si="39"/>
        <v>-6.3688888888888948E-2</v>
      </c>
      <c r="O70" s="11"/>
      <c r="P70" s="6">
        <v>842.68</v>
      </c>
      <c r="Q70" s="2"/>
      <c r="R70" s="7">
        <f t="shared" si="40"/>
        <v>3.3192559979142583E-3</v>
      </c>
      <c r="S70" s="2"/>
      <c r="T70" s="6">
        <v>900</v>
      </c>
      <c r="U70" s="2"/>
      <c r="V70" s="7">
        <f t="shared" si="41"/>
        <v>6.4935064935064939E-3</v>
      </c>
      <c r="W70" s="2"/>
      <c r="X70" s="6">
        <f t="shared" si="42"/>
        <v>-57.32000000000005</v>
      </c>
      <c r="Y70" s="2"/>
      <c r="Z70" s="7">
        <f t="shared" si="43"/>
        <v>-6.3688888888888948E-2</v>
      </c>
    </row>
    <row r="71" spans="1:26" s="24" customFormat="1" hidden="1" outlineLevel="2" x14ac:dyDescent="0.3">
      <c r="A71" s="27"/>
      <c r="B71" s="11" t="str">
        <f>CONCATENATE("          ", "6284", " - ", "TRASH REMOVAL EXPENSE")</f>
        <v xml:space="preserve">          6284 - TRASH REMOVAL EXPENSE</v>
      </c>
      <c r="C71" s="11"/>
      <c r="D71" s="6"/>
      <c r="E71" s="2"/>
      <c r="F71" s="7">
        <f t="shared" si="36"/>
        <v>0</v>
      </c>
      <c r="G71" s="2"/>
      <c r="H71" s="6">
        <v>50</v>
      </c>
      <c r="I71" s="2"/>
      <c r="J71" s="7">
        <f t="shared" si="37"/>
        <v>3.6075036075036075E-4</v>
      </c>
      <c r="K71" s="2"/>
      <c r="L71" s="6">
        <f t="shared" si="38"/>
        <v>-50</v>
      </c>
      <c r="M71" s="2"/>
      <c r="N71" s="7">
        <f t="shared" si="39"/>
        <v>-1</v>
      </c>
      <c r="O71" s="11"/>
      <c r="P71" s="6"/>
      <c r="Q71" s="2"/>
      <c r="R71" s="7">
        <f t="shared" si="40"/>
        <v>0</v>
      </c>
      <c r="S71" s="2"/>
      <c r="T71" s="6">
        <v>100</v>
      </c>
      <c r="U71" s="2"/>
      <c r="V71" s="7">
        <f t="shared" si="41"/>
        <v>7.215007215007215E-4</v>
      </c>
      <c r="W71" s="2"/>
      <c r="X71" s="6">
        <f t="shared" si="42"/>
        <v>-100</v>
      </c>
      <c r="Y71" s="2"/>
      <c r="Z71" s="7">
        <f t="shared" si="43"/>
        <v>-1</v>
      </c>
    </row>
    <row r="72" spans="1:26" s="24" customFormat="1" hidden="1" outlineLevel="2" x14ac:dyDescent="0.3">
      <c r="A72" s="27"/>
      <c r="B72" s="11" t="str">
        <f>CONCATENATE("          ", "6285", " - ", "JANITORIAL SERVICES")</f>
        <v xml:space="preserve">          6285 - JANITORIAL SERVICES</v>
      </c>
      <c r="C72" s="11"/>
      <c r="D72" s="6">
        <v>4468.33</v>
      </c>
      <c r="E72" s="2"/>
      <c r="F72" s="7">
        <f t="shared" si="36"/>
        <v>1.9352734359333639E-2</v>
      </c>
      <c r="G72" s="2"/>
      <c r="H72" s="6">
        <v>4983</v>
      </c>
      <c r="I72" s="2"/>
      <c r="J72" s="7">
        <f t="shared" si="37"/>
        <v>3.5952380952380951E-2</v>
      </c>
      <c r="K72" s="2"/>
      <c r="L72" s="6">
        <f t="shared" si="38"/>
        <v>-514.67000000000007</v>
      </c>
      <c r="M72" s="2"/>
      <c r="N72" s="7">
        <f t="shared" si="39"/>
        <v>-0.10328516957656032</v>
      </c>
      <c r="O72" s="11"/>
      <c r="P72" s="6">
        <v>8936.66</v>
      </c>
      <c r="Q72" s="2"/>
      <c r="R72" s="7">
        <f t="shared" si="40"/>
        <v>3.5200861900508425E-2</v>
      </c>
      <c r="S72" s="2"/>
      <c r="T72" s="6">
        <v>9966</v>
      </c>
      <c r="U72" s="2"/>
      <c r="V72" s="7">
        <f t="shared" si="41"/>
        <v>7.1904761904761902E-2</v>
      </c>
      <c r="W72" s="2"/>
      <c r="X72" s="6">
        <f t="shared" si="42"/>
        <v>-1029.3400000000001</v>
      </c>
      <c r="Y72" s="2"/>
      <c r="Z72" s="7">
        <f t="shared" si="43"/>
        <v>-0.10328516957656032</v>
      </c>
    </row>
    <row r="73" spans="1:26" s="24" customFormat="1" hidden="1" outlineLevel="2" x14ac:dyDescent="0.3">
      <c r="A73" s="27"/>
      <c r="B73" s="11" t="str">
        <f>CONCATENATE("          ", "6286", " - ", "LAUNDRY EXPENSE")</f>
        <v xml:space="preserve">          6286 - LAUNDRY EXPENSE</v>
      </c>
      <c r="C73" s="11"/>
      <c r="D73" s="6">
        <v>1201.3800000000001</v>
      </c>
      <c r="E73" s="2"/>
      <c r="F73" s="7">
        <f t="shared" si="36"/>
        <v>5.2032835543964406E-3</v>
      </c>
      <c r="G73" s="2"/>
      <c r="H73" s="6">
        <v>1667</v>
      </c>
      <c r="I73" s="2"/>
      <c r="J73" s="7">
        <f t="shared" si="37"/>
        <v>1.2027417027417027E-2</v>
      </c>
      <c r="K73" s="2"/>
      <c r="L73" s="6">
        <f t="shared" si="38"/>
        <v>-465.61999999999989</v>
      </c>
      <c r="M73" s="2"/>
      <c r="N73" s="7">
        <f t="shared" si="39"/>
        <v>-0.27931613677264538</v>
      </c>
      <c r="O73" s="11"/>
      <c r="P73" s="6">
        <v>2124.61</v>
      </c>
      <c r="Q73" s="2"/>
      <c r="R73" s="7">
        <f t="shared" si="40"/>
        <v>8.3686861984722718E-3</v>
      </c>
      <c r="S73" s="2"/>
      <c r="T73" s="6">
        <v>3334</v>
      </c>
      <c r="U73" s="2"/>
      <c r="V73" s="7">
        <f t="shared" si="41"/>
        <v>2.4054834054834055E-2</v>
      </c>
      <c r="W73" s="2"/>
      <c r="X73" s="6">
        <f t="shared" si="42"/>
        <v>-1209.3899999999999</v>
      </c>
      <c r="Y73" s="2"/>
      <c r="Z73" s="7">
        <f t="shared" si="43"/>
        <v>-0.36274445110977799</v>
      </c>
    </row>
    <row r="74" spans="1:26" s="28" customFormat="1" outlineLevel="1" collapsed="1" x14ac:dyDescent="0.3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9110.73</v>
      </c>
      <c r="E74" s="1"/>
      <c r="F74" s="5">
        <f t="shared" ref="F74:F80" si="44">IF(D$12=0,0,D74/D$12)</f>
        <v>3.9459381359391935E-2</v>
      </c>
      <c r="G74" s="1"/>
      <c r="H74" s="1">
        <f>SUM(OSRRefH22_13x_0)</f>
        <v>13066</v>
      </c>
      <c r="I74" s="1"/>
      <c r="J74" s="5">
        <f t="shared" ref="J74:J80" si="45">IF(H$12=0,0,H74/H$12)</f>
        <v>9.427128427128427E-2</v>
      </c>
      <c r="K74" s="1"/>
      <c r="L74" s="1">
        <f t="shared" ref="L74:L80" si="46">+D74-H74</f>
        <v>-3955.2700000000004</v>
      </c>
      <c r="M74" s="1"/>
      <c r="N74" s="5">
        <f t="shared" ref="N74:N80" si="47">IF(H74=0,0,L74/H74)</f>
        <v>-0.30271467932037355</v>
      </c>
      <c r="O74" s="14"/>
      <c r="P74" s="1">
        <f>SUM(OSRRefP22_13x_0)</f>
        <v>14312.41</v>
      </c>
      <c r="Q74" s="1"/>
      <c r="R74" s="5">
        <f t="shared" ref="R74:R80" si="48">IF(P$12=0,0,P74/P$12)</f>
        <v>5.637555505898801E-2</v>
      </c>
      <c r="S74" s="1"/>
      <c r="T74" s="1">
        <f>SUM(OSRRefT22_13x_0)</f>
        <v>26132</v>
      </c>
      <c r="U74" s="1"/>
      <c r="V74" s="5">
        <f t="shared" ref="V74:V80" si="49">IF(T$12=0,0,T74/T$12)</f>
        <v>0.18854256854256854</v>
      </c>
      <c r="W74" s="1"/>
      <c r="X74" s="1">
        <f t="shared" ref="X74:X80" si="50">+P74-T74</f>
        <v>-11819.59</v>
      </c>
      <c r="Y74" s="1"/>
      <c r="Z74" s="5">
        <f t="shared" ref="Z74:Z80" si="51">IF(T74=0,0,X74/T74)</f>
        <v>-0.4523033062911373</v>
      </c>
    </row>
    <row r="75" spans="1:26" s="24" customFormat="1" hidden="1" outlineLevel="2" x14ac:dyDescent="0.3">
      <c r="A75" s="27"/>
      <c r="B75" s="11" t="str">
        <f>CONCATENATE("          ", "6237", " - ", "JANITORIAL SUPPLIES")</f>
        <v xml:space="preserve">          6237 - JANITORIAL SUPPLIES</v>
      </c>
      <c r="C75" s="11"/>
      <c r="D75" s="6"/>
      <c r="E75" s="2"/>
      <c r="F75" s="7">
        <f t="shared" si="44"/>
        <v>0</v>
      </c>
      <c r="G75" s="2"/>
      <c r="H75" s="6">
        <v>3750</v>
      </c>
      <c r="I75" s="2"/>
      <c r="J75" s="7">
        <f t="shared" si="45"/>
        <v>2.7056277056277056E-2</v>
      </c>
      <c r="K75" s="2"/>
      <c r="L75" s="6">
        <f t="shared" si="46"/>
        <v>-3750</v>
      </c>
      <c r="M75" s="2"/>
      <c r="N75" s="7">
        <f t="shared" si="47"/>
        <v>-1</v>
      </c>
      <c r="O75" s="11"/>
      <c r="P75" s="6">
        <v>3701.95</v>
      </c>
      <c r="Q75" s="2"/>
      <c r="R75" s="7">
        <f t="shared" si="48"/>
        <v>1.458171517240078E-2</v>
      </c>
      <c r="S75" s="2"/>
      <c r="T75" s="6">
        <v>7500</v>
      </c>
      <c r="U75" s="2"/>
      <c r="V75" s="7">
        <f t="shared" si="49"/>
        <v>5.4112554112554112E-2</v>
      </c>
      <c r="W75" s="2"/>
      <c r="X75" s="6">
        <f t="shared" si="50"/>
        <v>-3798.05</v>
      </c>
      <c r="Y75" s="2"/>
      <c r="Z75" s="7">
        <f t="shared" si="51"/>
        <v>-0.50640666666666667</v>
      </c>
    </row>
    <row r="76" spans="1:26" s="24" customFormat="1" hidden="1" outlineLevel="2" x14ac:dyDescent="0.3">
      <c r="A76" s="27"/>
      <c r="B76" s="11" t="str">
        <f>CONCATENATE("          ", "6239", " - ", "KITCHEN SUPPLIES")</f>
        <v xml:space="preserve">          6239 - KITCHEN SUPPLIES</v>
      </c>
      <c r="C76" s="11"/>
      <c r="D76" s="6">
        <v>1016.81</v>
      </c>
      <c r="E76" s="2"/>
      <c r="F76" s="7">
        <f t="shared" si="44"/>
        <v>4.4038944804689973E-3</v>
      </c>
      <c r="G76" s="2"/>
      <c r="H76" s="6">
        <v>1800</v>
      </c>
      <c r="I76" s="2"/>
      <c r="J76" s="7">
        <f t="shared" si="45"/>
        <v>1.2987012987012988E-2</v>
      </c>
      <c r="K76" s="2"/>
      <c r="L76" s="6">
        <f t="shared" si="46"/>
        <v>-783.19</v>
      </c>
      <c r="M76" s="2"/>
      <c r="N76" s="7">
        <f t="shared" si="47"/>
        <v>-0.43510555555555558</v>
      </c>
      <c r="O76" s="11"/>
      <c r="P76" s="6">
        <v>1016.81</v>
      </c>
      <c r="Q76" s="2"/>
      <c r="R76" s="7">
        <f t="shared" si="48"/>
        <v>4.0051415617306657E-3</v>
      </c>
      <c r="S76" s="2"/>
      <c r="T76" s="6">
        <v>3600</v>
      </c>
      <c r="U76" s="2"/>
      <c r="V76" s="7">
        <f t="shared" si="49"/>
        <v>2.5974025974025976E-2</v>
      </c>
      <c r="W76" s="2"/>
      <c r="X76" s="6">
        <f t="shared" si="50"/>
        <v>-2583.19</v>
      </c>
      <c r="Y76" s="2"/>
      <c r="Z76" s="7">
        <f t="shared" si="51"/>
        <v>-0.71755277777777782</v>
      </c>
    </row>
    <row r="77" spans="1:26" s="24" customFormat="1" hidden="1" outlineLevel="2" x14ac:dyDescent="0.3">
      <c r="A77" s="27"/>
      <c r="B77" s="11" t="str">
        <f>CONCATENATE("          ", "6241", " - ", "OFFICE EXPENSE")</f>
        <v xml:space="preserve">          6241 - OFFICE EXPENSE</v>
      </c>
      <c r="C77" s="11"/>
      <c r="D77" s="6">
        <v>932.42</v>
      </c>
      <c r="E77" s="2"/>
      <c r="F77" s="7">
        <f t="shared" si="44"/>
        <v>4.0383938901848949E-3</v>
      </c>
      <c r="G77" s="2"/>
      <c r="H77" s="6">
        <v>820</v>
      </c>
      <c r="I77" s="2"/>
      <c r="J77" s="7">
        <f t="shared" si="45"/>
        <v>5.9163059163059167E-3</v>
      </c>
      <c r="K77" s="2"/>
      <c r="L77" s="6">
        <f t="shared" si="46"/>
        <v>112.41999999999996</v>
      </c>
      <c r="M77" s="2"/>
      <c r="N77" s="7">
        <f t="shared" si="47"/>
        <v>0.13709756097560971</v>
      </c>
      <c r="O77" s="11"/>
      <c r="P77" s="6">
        <v>1369.08</v>
      </c>
      <c r="Q77" s="2"/>
      <c r="R77" s="7">
        <f t="shared" si="48"/>
        <v>5.3927077913614339E-3</v>
      </c>
      <c r="S77" s="2"/>
      <c r="T77" s="6">
        <v>1640</v>
      </c>
      <c r="U77" s="2"/>
      <c r="V77" s="7">
        <f t="shared" si="49"/>
        <v>1.1832611832611833E-2</v>
      </c>
      <c r="W77" s="2"/>
      <c r="X77" s="6">
        <f t="shared" si="50"/>
        <v>-270.92000000000007</v>
      </c>
      <c r="Y77" s="2"/>
      <c r="Z77" s="7">
        <f t="shared" si="51"/>
        <v>-0.16519512195121955</v>
      </c>
    </row>
    <row r="78" spans="1:26" s="24" customFormat="1" hidden="1" outlineLevel="2" x14ac:dyDescent="0.3">
      <c r="A78" s="27"/>
      <c r="B78" s="11" t="str">
        <f>CONCATENATE("          ", "6243", " - ", "PAPER SUPPLIES")</f>
        <v xml:space="preserve">          6243 - PAPER SUPPLIES</v>
      </c>
      <c r="C78" s="11"/>
      <c r="D78" s="6">
        <v>7161.5</v>
      </c>
      <c r="E78" s="2"/>
      <c r="F78" s="7">
        <f t="shared" si="44"/>
        <v>3.1017092988738042E-2</v>
      </c>
      <c r="G78" s="2"/>
      <c r="H78" s="6">
        <v>6300</v>
      </c>
      <c r="I78" s="2"/>
      <c r="J78" s="7">
        <f t="shared" si="45"/>
        <v>4.5454545454545456E-2</v>
      </c>
      <c r="K78" s="2"/>
      <c r="L78" s="6">
        <f t="shared" si="46"/>
        <v>861.5</v>
      </c>
      <c r="M78" s="2"/>
      <c r="N78" s="7">
        <f t="shared" si="47"/>
        <v>0.13674603174603175</v>
      </c>
      <c r="O78" s="11"/>
      <c r="P78" s="6">
        <v>8224.57</v>
      </c>
      <c r="Q78" s="2"/>
      <c r="R78" s="7">
        <f t="shared" si="48"/>
        <v>3.2395990533495123E-2</v>
      </c>
      <c r="S78" s="2"/>
      <c r="T78" s="6">
        <v>12600</v>
      </c>
      <c r="U78" s="2"/>
      <c r="V78" s="7">
        <f t="shared" si="49"/>
        <v>9.0909090909090912E-2</v>
      </c>
      <c r="W78" s="2"/>
      <c r="X78" s="6">
        <f t="shared" si="50"/>
        <v>-4375.43</v>
      </c>
      <c r="Y78" s="2"/>
      <c r="Z78" s="7">
        <f t="shared" si="51"/>
        <v>-0.34725634920634924</v>
      </c>
    </row>
    <row r="79" spans="1:26" s="24" customFormat="1" hidden="1" outlineLevel="2" x14ac:dyDescent="0.3">
      <c r="A79" s="27"/>
      <c r="B79" s="11" t="str">
        <f>CONCATENATE("          ", "6244", " - ", "SAFETY SUPPLY EXPENSE")</f>
        <v xml:space="preserve">          6244 - SAFETY SUPPLY EXPENSE</v>
      </c>
      <c r="C79" s="11"/>
      <c r="D79" s="6"/>
      <c r="E79" s="2"/>
      <c r="F79" s="7">
        <f t="shared" si="44"/>
        <v>0</v>
      </c>
      <c r="G79" s="2"/>
      <c r="H79" s="6">
        <v>200</v>
      </c>
      <c r="I79" s="2"/>
      <c r="J79" s="7">
        <f t="shared" si="45"/>
        <v>1.443001443001443E-3</v>
      </c>
      <c r="K79" s="2"/>
      <c r="L79" s="6">
        <f t="shared" si="46"/>
        <v>-200</v>
      </c>
      <c r="M79" s="2"/>
      <c r="N79" s="7">
        <f t="shared" si="47"/>
        <v>-1</v>
      </c>
      <c r="O79" s="11"/>
      <c r="P79" s="6"/>
      <c r="Q79" s="2"/>
      <c r="R79" s="7">
        <f t="shared" si="48"/>
        <v>0</v>
      </c>
      <c r="S79" s="2"/>
      <c r="T79" s="6">
        <v>400</v>
      </c>
      <c r="U79" s="2"/>
      <c r="V79" s="7">
        <f t="shared" si="49"/>
        <v>2.886002886002886E-3</v>
      </c>
      <c r="W79" s="2"/>
      <c r="X79" s="6">
        <f t="shared" si="50"/>
        <v>-400</v>
      </c>
      <c r="Y79" s="2"/>
      <c r="Z79" s="7">
        <f t="shared" si="51"/>
        <v>-1</v>
      </c>
    </row>
    <row r="80" spans="1:26" s="24" customFormat="1" hidden="1" outlineLevel="2" x14ac:dyDescent="0.3">
      <c r="A80" s="27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44"/>
        <v>0</v>
      </c>
      <c r="G80" s="2"/>
      <c r="H80" s="6">
        <v>196</v>
      </c>
      <c r="I80" s="2"/>
      <c r="J80" s="7">
        <f t="shared" si="45"/>
        <v>1.4141414141414141E-3</v>
      </c>
      <c r="K80" s="2"/>
      <c r="L80" s="6">
        <f t="shared" si="46"/>
        <v>-196</v>
      </c>
      <c r="M80" s="2"/>
      <c r="N80" s="7">
        <f t="shared" si="47"/>
        <v>-1</v>
      </c>
      <c r="O80" s="11"/>
      <c r="P80" s="6"/>
      <c r="Q80" s="2"/>
      <c r="R80" s="7">
        <f t="shared" si="48"/>
        <v>0</v>
      </c>
      <c r="S80" s="2"/>
      <c r="T80" s="6">
        <v>392</v>
      </c>
      <c r="U80" s="2"/>
      <c r="V80" s="7">
        <f t="shared" si="49"/>
        <v>2.8282828282828283E-3</v>
      </c>
      <c r="W80" s="2"/>
      <c r="X80" s="6">
        <f t="shared" si="50"/>
        <v>-392</v>
      </c>
      <c r="Y80" s="2"/>
      <c r="Z80" s="7">
        <f t="shared" si="51"/>
        <v>-1</v>
      </c>
    </row>
    <row r="81" spans="1:26" s="28" customFormat="1" outlineLevel="1" collapsed="1" x14ac:dyDescent="0.3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SUM(OSRRefD22_14x_0)</f>
        <v>309</v>
      </c>
      <c r="E81" s="1"/>
      <c r="F81" s="5">
        <f t="shared" ref="F81:F84" si="52">IF(D$12=0,0,D81/D$12)</f>
        <v>1.3383064628248349E-3</v>
      </c>
      <c r="G81" s="1"/>
      <c r="H81" s="1">
        <f>SUM(OSRRefH22_14x_0)</f>
        <v>218</v>
      </c>
      <c r="I81" s="1"/>
      <c r="J81" s="5">
        <f t="shared" ref="J81:J84" si="53">IF(H$12=0,0,H81/H$12)</f>
        <v>1.5728715728715729E-3</v>
      </c>
      <c r="K81" s="1"/>
      <c r="L81" s="1">
        <f t="shared" ref="L81:L84" si="54">+D81-H81</f>
        <v>91</v>
      </c>
      <c r="M81" s="1"/>
      <c r="N81" s="5">
        <f t="shared" ref="N81:N84" si="55">IF(H81=0,0,L81/H81)</f>
        <v>0.41743119266055045</v>
      </c>
      <c r="O81" s="14"/>
      <c r="P81" s="1">
        <f>SUM(OSRRefP22_14x_0)</f>
        <v>526</v>
      </c>
      <c r="Q81" s="1"/>
      <c r="R81" s="5">
        <f t="shared" ref="R81:R84" si="56">IF(P$12=0,0,P81/P$12)</f>
        <v>2.071876222175559E-3</v>
      </c>
      <c r="S81" s="1"/>
      <c r="T81" s="1">
        <f>SUM(OSRRefT22_14x_0)</f>
        <v>436</v>
      </c>
      <c r="U81" s="1"/>
      <c r="V81" s="5">
        <f t="shared" ref="V81:V84" si="57">IF(T$12=0,0,T81/T$12)</f>
        <v>3.1457431457431457E-3</v>
      </c>
      <c r="W81" s="1"/>
      <c r="X81" s="1">
        <f t="shared" ref="X81:X84" si="58">+P81-T81</f>
        <v>90</v>
      </c>
      <c r="Y81" s="1"/>
      <c r="Z81" s="5">
        <f t="shared" ref="Z81:Z84" si="59">IF(T81=0,0,X81/T81)</f>
        <v>0.20642201834862386</v>
      </c>
    </row>
    <row r="82" spans="1:26" s="24" customFormat="1" hidden="1" outlineLevel="2" x14ac:dyDescent="0.3">
      <c r="A82" s="27"/>
      <c r="B82" s="11" t="str">
        <f>CONCATENATE("          ", "6309", " - ", "TELEPHONE")</f>
        <v xml:space="preserve">          6309 - TELEPHONE</v>
      </c>
      <c r="C82" s="11"/>
      <c r="D82" s="6">
        <v>309</v>
      </c>
      <c r="E82" s="2"/>
      <c r="F82" s="7">
        <f t="shared" si="52"/>
        <v>1.3383064628248349E-3</v>
      </c>
      <c r="G82" s="2"/>
      <c r="H82" s="6">
        <v>218</v>
      </c>
      <c r="I82" s="2"/>
      <c r="J82" s="7">
        <f t="shared" si="53"/>
        <v>1.5728715728715729E-3</v>
      </c>
      <c r="K82" s="2"/>
      <c r="L82" s="6">
        <f t="shared" si="54"/>
        <v>91</v>
      </c>
      <c r="M82" s="2"/>
      <c r="N82" s="7">
        <f t="shared" si="55"/>
        <v>0.41743119266055045</v>
      </c>
      <c r="O82" s="11"/>
      <c r="P82" s="6">
        <v>526</v>
      </c>
      <c r="Q82" s="2"/>
      <c r="R82" s="7">
        <f t="shared" si="56"/>
        <v>2.071876222175559E-3</v>
      </c>
      <c r="S82" s="2"/>
      <c r="T82" s="6">
        <v>436</v>
      </c>
      <c r="U82" s="2"/>
      <c r="V82" s="7">
        <f t="shared" si="57"/>
        <v>3.1457431457431457E-3</v>
      </c>
      <c r="W82" s="2"/>
      <c r="X82" s="6">
        <f t="shared" si="58"/>
        <v>90</v>
      </c>
      <c r="Y82" s="2"/>
      <c r="Z82" s="7">
        <f t="shared" si="59"/>
        <v>0.20642201834862386</v>
      </c>
    </row>
    <row r="83" spans="1:26" s="28" customFormat="1" outlineLevel="1" collapsed="1" x14ac:dyDescent="0.3">
      <c r="A83" s="29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SUM(OSRRefD22_15x_0)</f>
        <v>0</v>
      </c>
      <c r="E83" s="1"/>
      <c r="F83" s="5">
        <f t="shared" si="52"/>
        <v>0</v>
      </c>
      <c r="G83" s="1"/>
      <c r="H83" s="1">
        <f>SUM(OSRRefH22_15x_0)</f>
        <v>175</v>
      </c>
      <c r="I83" s="1"/>
      <c r="J83" s="5">
        <f t="shared" si="53"/>
        <v>1.2626262626262627E-3</v>
      </c>
      <c r="K83" s="1"/>
      <c r="L83" s="1">
        <f t="shared" si="54"/>
        <v>-175</v>
      </c>
      <c r="M83" s="1"/>
      <c r="N83" s="5">
        <f t="shared" si="55"/>
        <v>-1</v>
      </c>
      <c r="O83" s="14"/>
      <c r="P83" s="1">
        <f>SUM(OSRRefP22_15x_0)</f>
        <v>0</v>
      </c>
      <c r="Q83" s="1"/>
      <c r="R83" s="5">
        <f t="shared" si="56"/>
        <v>0</v>
      </c>
      <c r="S83" s="1"/>
      <c r="T83" s="1">
        <f>SUM(OSRRefT22_15x_0)</f>
        <v>350</v>
      </c>
      <c r="U83" s="1"/>
      <c r="V83" s="5">
        <f t="shared" si="57"/>
        <v>2.5252525252525255E-3</v>
      </c>
      <c r="W83" s="1"/>
      <c r="X83" s="1">
        <f t="shared" si="58"/>
        <v>-350</v>
      </c>
      <c r="Y83" s="1"/>
      <c r="Z83" s="5">
        <f t="shared" si="59"/>
        <v>-1</v>
      </c>
    </row>
    <row r="84" spans="1:26" s="24" customFormat="1" hidden="1" outlineLevel="2" x14ac:dyDescent="0.3">
      <c r="A84" s="27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52"/>
        <v>0</v>
      </c>
      <c r="G84" s="2"/>
      <c r="H84" s="6">
        <v>175</v>
      </c>
      <c r="I84" s="2"/>
      <c r="J84" s="7">
        <f t="shared" si="53"/>
        <v>1.2626262626262627E-3</v>
      </c>
      <c r="K84" s="2"/>
      <c r="L84" s="6">
        <f t="shared" si="54"/>
        <v>-175</v>
      </c>
      <c r="M84" s="2"/>
      <c r="N84" s="7">
        <f t="shared" si="55"/>
        <v>-1</v>
      </c>
      <c r="O84" s="11"/>
      <c r="P84" s="6"/>
      <c r="Q84" s="2"/>
      <c r="R84" s="7">
        <f t="shared" si="56"/>
        <v>0</v>
      </c>
      <c r="S84" s="2"/>
      <c r="T84" s="6">
        <v>350</v>
      </c>
      <c r="U84" s="2"/>
      <c r="V84" s="7">
        <f t="shared" si="57"/>
        <v>2.5252525252525255E-3</v>
      </c>
      <c r="W84" s="2"/>
      <c r="X84" s="6">
        <f t="shared" si="58"/>
        <v>-350</v>
      </c>
      <c r="Y84" s="2"/>
      <c r="Z84" s="7">
        <f t="shared" si="59"/>
        <v>-1</v>
      </c>
    </row>
    <row r="85" spans="1:26" s="53" customFormat="1" x14ac:dyDescent="0.3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3">
      <c r="A86" s="10"/>
      <c r="B86" s="25" t="s">
        <v>293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10"/>
      <c r="B88" s="26" t="s">
        <v>277</v>
      </c>
      <c r="C88" s="26"/>
      <c r="D88" s="21">
        <f>+D23-D25+D86</f>
        <v>9728.1300000000047</v>
      </c>
      <c r="E88" s="13"/>
      <c r="F88" s="20">
        <f>IF(D$12=0,0,D88/D$12)</f>
        <v>4.2133395631715753E-2</v>
      </c>
      <c r="G88" s="13"/>
      <c r="H88" s="21">
        <f>+H23-H25+H86</f>
        <v>-92312.795691219944</v>
      </c>
      <c r="I88" s="13"/>
      <c r="J88" s="20">
        <f>IF(H$12=0,0,H88/H$12)</f>
        <v>-0.66603748694963882</v>
      </c>
      <c r="K88" s="16"/>
      <c r="L88" s="21">
        <f>+D88-H88</f>
        <v>102040.92569121995</v>
      </c>
      <c r="M88" s="16"/>
      <c r="N88" s="20">
        <f>IF(H88=0,0,L88/H88)</f>
        <v>-1.1053822487679816</v>
      </c>
      <c r="O88" s="25"/>
      <c r="P88" s="21">
        <f>+P23-P25+P86</f>
        <v>-76104.109999999899</v>
      </c>
      <c r="Q88" s="13"/>
      <c r="R88" s="20">
        <f>IF(P$12=0,0,P88/P$12)</f>
        <v>-0.29976862341983451</v>
      </c>
      <c r="S88" s="13"/>
      <c r="T88" s="21">
        <f>+T23-T25+T86</f>
        <v>-209147.27030524483</v>
      </c>
      <c r="U88" s="13"/>
      <c r="V88" s="20">
        <f>IF(T$12=0,0,T88/T$12)</f>
        <v>-1.5089990642514057</v>
      </c>
      <c r="W88" s="16"/>
      <c r="X88" s="21">
        <f>+P88-T88</f>
        <v>133043.16030524494</v>
      </c>
      <c r="Y88" s="16"/>
      <c r="Z88" s="20">
        <f>IF(T88=0,0,X88/T88)</f>
        <v>-0.63612190640151323</v>
      </c>
    </row>
    <row r="89" spans="1:26" x14ac:dyDescent="0.3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">
      <c r="A90" s="52"/>
      <c r="B90" s="10" t="s">
        <v>128</v>
      </c>
      <c r="C90" s="10"/>
      <c r="D90" s="4">
        <v>27317.4</v>
      </c>
      <c r="E90" s="4"/>
      <c r="F90" s="12">
        <f>IF(D$12=0,0,D90/D$12)</f>
        <v>0.11831408727369302</v>
      </c>
      <c r="G90" s="4"/>
      <c r="H90" s="4">
        <v>15522</v>
      </c>
      <c r="I90" s="4"/>
      <c r="J90" s="12">
        <f>IF(H$12=0,0,H90/H$12)</f>
        <v>0.11199134199134199</v>
      </c>
      <c r="K90" s="4"/>
      <c r="L90" s="4">
        <f>+D90-H90</f>
        <v>11795.400000000001</v>
      </c>
      <c r="M90" s="4"/>
      <c r="N90" s="12">
        <f>IF(H90=0,0,L90/H90)</f>
        <v>0.75991495941244691</v>
      </c>
      <c r="O90" s="10"/>
      <c r="P90" s="4">
        <v>37937.47</v>
      </c>
      <c r="Q90" s="4"/>
      <c r="R90" s="12">
        <f>IF(P$12=0,0,P90/P$12)</f>
        <v>0.14943296962452207</v>
      </c>
      <c r="S90" s="4"/>
      <c r="T90" s="4">
        <v>15522</v>
      </c>
      <c r="U90" s="4"/>
      <c r="V90" s="12">
        <f>IF(T$12=0,0,T90/T$12)</f>
        <v>0.11199134199134199</v>
      </c>
      <c r="W90" s="4"/>
      <c r="X90" s="4">
        <f>+P90-T90</f>
        <v>22415.47</v>
      </c>
      <c r="Y90" s="4"/>
      <c r="Z90" s="12">
        <f>IF(T90=0,0,X90/T90)</f>
        <v>1.4441096508181936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" thickBot="1" x14ac:dyDescent="0.35">
      <c r="A92" s="10"/>
      <c r="B92" s="26" t="s">
        <v>126</v>
      </c>
      <c r="C92" s="26"/>
      <c r="D92" s="30">
        <f>+D88-D90</f>
        <v>-17589.269999999997</v>
      </c>
      <c r="E92" s="13"/>
      <c r="F92" s="35">
        <f>IF(D$12=0,0,D92/D$12)</f>
        <v>-7.6180691641977272E-2</v>
      </c>
      <c r="G92" s="13"/>
      <c r="H92" s="30">
        <f>+H88-H90</f>
        <v>-107834.79569121994</v>
      </c>
      <c r="I92" s="13"/>
      <c r="J92" s="35">
        <f>IF(H$12=0,0,H92/H$12)</f>
        <v>-0.7780288289409808</v>
      </c>
      <c r="K92" s="16"/>
      <c r="L92" s="30">
        <f>D92-H92</f>
        <v>90245.525691219955</v>
      </c>
      <c r="M92" s="16"/>
      <c r="N92" s="35">
        <f>IF(H92=0,0,L92/H92)</f>
        <v>-0.83688687971954745</v>
      </c>
      <c r="O92" s="25"/>
      <c r="P92" s="30">
        <f>+P88-P90</f>
        <v>-114041.5799999999</v>
      </c>
      <c r="Q92" s="13"/>
      <c r="R92" s="35">
        <f>IF(P$12=0,0,P92/P$12)</f>
        <v>-0.44920159304435658</v>
      </c>
      <c r="S92" s="13"/>
      <c r="T92" s="30">
        <f>+T88-T90</f>
        <v>-224669.27030524483</v>
      </c>
      <c r="U92" s="13"/>
      <c r="V92" s="35">
        <f>IF(T$12=0,0,T92/T$12)</f>
        <v>-1.6209904062427478</v>
      </c>
      <c r="W92" s="16"/>
      <c r="X92" s="30">
        <f>P92-T92</f>
        <v>110627.69030524493</v>
      </c>
      <c r="Y92" s="16"/>
      <c r="Z92" s="35">
        <f>IF(T92=0,0,X92/T92)</f>
        <v>-0.4924024106854562</v>
      </c>
    </row>
    <row r="93" spans="1:26" ht="15" thickTop="1" x14ac:dyDescent="0.3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6" t="s">
        <v>294</v>
      </c>
      <c r="C95" s="26"/>
      <c r="D95" s="32">
        <f>SUM(D92:D94)</f>
        <v>-17589.269999999997</v>
      </c>
      <c r="E95" s="13"/>
      <c r="F95" s="34">
        <f>IF(D$12=0,0,D95/D$12)</f>
        <v>-7.6180691641977272E-2</v>
      </c>
      <c r="G95" s="13"/>
      <c r="H95" s="32">
        <f>SUM(H92:H94)</f>
        <v>-107834.79569121994</v>
      </c>
      <c r="I95" s="13"/>
      <c r="J95" s="34">
        <f>IF(H$12=0,0,H95/H$12)</f>
        <v>-0.7780288289409808</v>
      </c>
      <c r="K95" s="16"/>
      <c r="L95" s="32">
        <f>+D95-H95</f>
        <v>90245.525691219955</v>
      </c>
      <c r="M95" s="16"/>
      <c r="N95" s="34">
        <f>IF(H95=0,0,L95/H95)</f>
        <v>-0.83688687971954745</v>
      </c>
      <c r="O95" s="25"/>
      <c r="P95" s="32">
        <f>SUM(P92:P94)</f>
        <v>-114041.5799999999</v>
      </c>
      <c r="Q95" s="13"/>
      <c r="R95" s="34">
        <f>IF(P$12=0,0,P95/P$12)</f>
        <v>-0.44920159304435658</v>
      </c>
      <c r="S95" s="13"/>
      <c r="T95" s="32">
        <f>SUM(T92:T94)</f>
        <v>-224669.27030524483</v>
      </c>
      <c r="U95" s="13"/>
      <c r="V95" s="34">
        <f>IF(T$12=0,0,T95/T$12)</f>
        <v>-1.6209904062427478</v>
      </c>
      <c r="W95" s="16"/>
      <c r="X95" s="32">
        <f>+P95-T95</f>
        <v>110627.69030524493</v>
      </c>
      <c r="Y95" s="16"/>
      <c r="Z95" s="34">
        <f>IF(T95=0,0,X95/T95)</f>
        <v>-0.4924024106854562</v>
      </c>
    </row>
    <row r="96" spans="1:26" ht="15" thickTop="1" x14ac:dyDescent="0.3">
      <c r="A96" s="9"/>
      <c r="C96" s="9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61">
        <v>44470.835499687499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A98" s="9"/>
      <c r="B98" s="58" t="s">
        <v>56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">
      <c r="A99" s="9"/>
      <c r="B99" s="55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3"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","450", " - ", "Beachside Dining Hall")</f>
        <v>Department 450 - Beachside Dining Hall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41892.78</v>
      </c>
      <c r="E12" s="4"/>
      <c r="F12" s="12"/>
      <c r="G12" s="4"/>
      <c r="H12" s="4">
        <f>SUM(OSRRefH13x_0)</f>
        <v>30240</v>
      </c>
      <c r="I12" s="4"/>
      <c r="J12" s="12"/>
      <c r="K12" s="4"/>
      <c r="L12" s="4">
        <f t="shared" ref="L12:L15" si="0">+D12-H12</f>
        <v>11652.779999999999</v>
      </c>
      <c r="M12" s="4"/>
      <c r="N12" s="12">
        <f t="shared" ref="N12:N15" si="1">IF(H12=0,0,L12/H12)</f>
        <v>0.38534325396825392</v>
      </c>
      <c r="O12" s="10"/>
      <c r="P12" s="4">
        <f>SUM(OSRRefP13x_0)</f>
        <v>41892.78</v>
      </c>
      <c r="Q12" s="4"/>
      <c r="R12" s="12"/>
      <c r="S12" s="4"/>
      <c r="T12" s="4">
        <f>SUM(OSRRefT13x_0)</f>
        <v>30240</v>
      </c>
      <c r="U12" s="4"/>
      <c r="V12" s="12"/>
      <c r="W12" s="4"/>
      <c r="X12" s="4">
        <f t="shared" ref="X12:X15" si="2">+P12-T12</f>
        <v>11652.779999999999</v>
      </c>
      <c r="Y12" s="4"/>
      <c r="Z12" s="12">
        <f t="shared" ref="Z12:Z15" si="3">IF(T12=0,0,X12/T12)</f>
        <v>0.38534325396825392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30240</v>
      </c>
      <c r="I13" s="2"/>
      <c r="J13" s="19"/>
      <c r="K13" s="2"/>
      <c r="L13" s="2">
        <f t="shared" si="0"/>
        <v>-30240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30240</v>
      </c>
      <c r="U13" s="2"/>
      <c r="V13" s="19"/>
      <c r="W13" s="2"/>
      <c r="X13" s="2">
        <f t="shared" si="2"/>
        <v>-30240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--41610.58</f>
        <v>41610.58</v>
      </c>
      <c r="E14" s="2"/>
      <c r="F14" s="19"/>
      <c r="G14" s="2"/>
      <c r="H14" s="2"/>
      <c r="I14" s="2"/>
      <c r="J14" s="19"/>
      <c r="K14" s="2"/>
      <c r="L14" s="2">
        <f t="shared" si="0"/>
        <v>41610.58</v>
      </c>
      <c r="M14" s="2"/>
      <c r="N14" s="19">
        <f t="shared" si="1"/>
        <v>0</v>
      </c>
      <c r="O14" s="11"/>
      <c r="P14" s="2">
        <f>--41610.58</f>
        <v>41610.58</v>
      </c>
      <c r="Q14" s="2"/>
      <c r="R14" s="19"/>
      <c r="S14" s="2"/>
      <c r="T14" s="2"/>
      <c r="U14" s="2"/>
      <c r="V14" s="19"/>
      <c r="W14" s="2"/>
      <c r="X14" s="2">
        <f t="shared" si="2"/>
        <v>41610.58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--282.2</f>
        <v>282.2</v>
      </c>
      <c r="E15" s="2"/>
      <c r="F15" s="19"/>
      <c r="G15" s="2"/>
      <c r="H15" s="2"/>
      <c r="I15" s="2"/>
      <c r="J15" s="19"/>
      <c r="K15" s="2"/>
      <c r="L15" s="2">
        <f t="shared" si="0"/>
        <v>282.2</v>
      </c>
      <c r="M15" s="2"/>
      <c r="N15" s="19">
        <f t="shared" si="1"/>
        <v>0</v>
      </c>
      <c r="O15" s="11"/>
      <c r="P15" s="2">
        <f>--282.2</f>
        <v>282.2</v>
      </c>
      <c r="Q15" s="2"/>
      <c r="R15" s="19"/>
      <c r="S15" s="2"/>
      <c r="T15" s="2"/>
      <c r="U15" s="2"/>
      <c r="V15" s="19"/>
      <c r="W15" s="2"/>
      <c r="X15" s="2">
        <f t="shared" si="2"/>
        <v>282.2</v>
      </c>
      <c r="Y15" s="2"/>
      <c r="Z15" s="19">
        <f t="shared" si="3"/>
        <v>0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34326.449999999997</v>
      </c>
      <c r="E17" s="4"/>
      <c r="F17" s="12">
        <f t="shared" ref="F17:F20" si="4">IF(D$12=0,0,D17/D$12)</f>
        <v>0.81938820961511738</v>
      </c>
      <c r="G17" s="4"/>
      <c r="H17" s="4">
        <f>SUM(OSRRefH16x_0)</f>
        <v>18144</v>
      </c>
      <c r="I17" s="4"/>
      <c r="J17" s="12">
        <f t="shared" ref="J17:J20" si="5">IF(H$12=0,0,H17/H$12)</f>
        <v>0.6</v>
      </c>
      <c r="K17" s="4"/>
      <c r="L17" s="4">
        <f t="shared" ref="L17:L20" si="6">+D17-H17</f>
        <v>16182.449999999997</v>
      </c>
      <c r="M17" s="4"/>
      <c r="N17" s="12">
        <f t="shared" ref="N17:N20" si="7">IF(H17=0,0,L17/H17)</f>
        <v>0.89188988095238075</v>
      </c>
      <c r="O17" s="10"/>
      <c r="P17" s="4">
        <f>SUM(OSRRefP16x_0)</f>
        <v>34326.449999999997</v>
      </c>
      <c r="Q17" s="4"/>
      <c r="R17" s="12">
        <f t="shared" ref="R17:R20" si="8">IF(P$12=0,0,P17/P$12)</f>
        <v>0.81938820961511738</v>
      </c>
      <c r="S17" s="4"/>
      <c r="T17" s="4">
        <f>SUM(OSRRefT16x_0)</f>
        <v>18144</v>
      </c>
      <c r="U17" s="4"/>
      <c r="V17" s="12">
        <f t="shared" ref="V17:V20" si="9">IF(T$12=0,0,T17/T$12)</f>
        <v>0.6</v>
      </c>
      <c r="W17" s="4"/>
      <c r="X17" s="4">
        <f t="shared" ref="X17:X20" si="10">+P17-T17</f>
        <v>16182.449999999997</v>
      </c>
      <c r="Y17" s="4"/>
      <c r="Z17" s="12">
        <f t="shared" ref="Z17:Z20" si="11">IF(T17=0,0,X17/T17)</f>
        <v>0.89188988095238075</v>
      </c>
    </row>
    <row r="18" spans="1:26" s="24" customFormat="1" hidden="1" outlineLevel="1" x14ac:dyDescent="0.3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18144</v>
      </c>
      <c r="I18" s="2"/>
      <c r="J18" s="19">
        <f t="shared" si="5"/>
        <v>0.6</v>
      </c>
      <c r="K18" s="2"/>
      <c r="L18" s="2">
        <f t="shared" si="6"/>
        <v>-18144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18144</v>
      </c>
      <c r="U18" s="2"/>
      <c r="V18" s="19">
        <f t="shared" si="9"/>
        <v>0.6</v>
      </c>
      <c r="W18" s="2"/>
      <c r="X18" s="2">
        <f t="shared" si="10"/>
        <v>-18144</v>
      </c>
      <c r="Y18" s="2"/>
      <c r="Z18" s="19">
        <f t="shared" si="11"/>
        <v>-1</v>
      </c>
    </row>
    <row r="19" spans="1:26" s="24" customFormat="1" hidden="1" outlineLevel="1" x14ac:dyDescent="0.3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47579.45</v>
      </c>
      <c r="E19" s="2"/>
      <c r="F19" s="19">
        <f t="shared" si="4"/>
        <v>1.1357434383681388</v>
      </c>
      <c r="G19" s="2"/>
      <c r="H19" s="2"/>
      <c r="I19" s="2"/>
      <c r="J19" s="19">
        <f t="shared" si="5"/>
        <v>0</v>
      </c>
      <c r="K19" s="2"/>
      <c r="L19" s="2">
        <f t="shared" si="6"/>
        <v>47579.45</v>
      </c>
      <c r="M19" s="2"/>
      <c r="N19" s="19">
        <f t="shared" si="7"/>
        <v>0</v>
      </c>
      <c r="O19" s="11"/>
      <c r="P19" s="2">
        <v>47579.45</v>
      </c>
      <c r="Q19" s="2"/>
      <c r="R19" s="19">
        <f t="shared" si="8"/>
        <v>1.1357434383681388</v>
      </c>
      <c r="S19" s="2"/>
      <c r="T19" s="2"/>
      <c r="U19" s="2"/>
      <c r="V19" s="19">
        <f t="shared" si="9"/>
        <v>0</v>
      </c>
      <c r="W19" s="2"/>
      <c r="X19" s="2">
        <f t="shared" si="10"/>
        <v>47579.45</v>
      </c>
      <c r="Y19" s="2"/>
      <c r="Z19" s="19">
        <f t="shared" si="11"/>
        <v>0</v>
      </c>
    </row>
    <row r="20" spans="1:26" s="24" customFormat="1" hidden="1" outlineLevel="1" x14ac:dyDescent="0.3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-13253</v>
      </c>
      <c r="E20" s="2"/>
      <c r="F20" s="19">
        <f t="shared" si="4"/>
        <v>-0.31635522875302141</v>
      </c>
      <c r="G20" s="2"/>
      <c r="H20" s="2"/>
      <c r="I20" s="2"/>
      <c r="J20" s="19">
        <f t="shared" si="5"/>
        <v>0</v>
      </c>
      <c r="K20" s="2"/>
      <c r="L20" s="2">
        <f t="shared" si="6"/>
        <v>-13253</v>
      </c>
      <c r="M20" s="2"/>
      <c r="N20" s="19">
        <f t="shared" si="7"/>
        <v>0</v>
      </c>
      <c r="O20" s="11"/>
      <c r="P20" s="2">
        <v>-13253</v>
      </c>
      <c r="Q20" s="2"/>
      <c r="R20" s="19">
        <f t="shared" si="8"/>
        <v>-0.31635522875302141</v>
      </c>
      <c r="S20" s="2"/>
      <c r="T20" s="2"/>
      <c r="U20" s="2"/>
      <c r="V20" s="19">
        <f t="shared" si="9"/>
        <v>0</v>
      </c>
      <c r="W20" s="2"/>
      <c r="X20" s="2">
        <f t="shared" si="10"/>
        <v>-13253</v>
      </c>
      <c r="Y20" s="2"/>
      <c r="Z20" s="19">
        <f t="shared" si="11"/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108</v>
      </c>
      <c r="C22" s="26"/>
      <c r="D22" s="21">
        <f>D12-D17</f>
        <v>7566.3300000000017</v>
      </c>
      <c r="E22" s="13"/>
      <c r="F22" s="20">
        <f>IF(D$12=0,0,D22/D$12)</f>
        <v>0.18061179038488259</v>
      </c>
      <c r="G22" s="13"/>
      <c r="H22" s="21">
        <f>H12-H17</f>
        <v>12096</v>
      </c>
      <c r="I22" s="13"/>
      <c r="J22" s="20">
        <f>IF(H$12=0,0,H22/H$12)</f>
        <v>0.4</v>
      </c>
      <c r="K22" s="16"/>
      <c r="L22" s="21">
        <f>+D22-H22</f>
        <v>-4529.6699999999983</v>
      </c>
      <c r="M22" s="16"/>
      <c r="N22" s="20">
        <f>IF(H22=0,0,L22/H22)</f>
        <v>-0.37447668650793636</v>
      </c>
      <c r="O22" s="25"/>
      <c r="P22" s="21">
        <f>P12-P17</f>
        <v>7566.3300000000017</v>
      </c>
      <c r="Q22" s="13"/>
      <c r="R22" s="20">
        <f>IF(P$12=0,0,P22/P$12)</f>
        <v>0.18061179038488259</v>
      </c>
      <c r="S22" s="13"/>
      <c r="T22" s="21">
        <f>T12-T17</f>
        <v>12096</v>
      </c>
      <c r="U22" s="13"/>
      <c r="V22" s="20">
        <f>IF(T$12=0,0,T22/T$12)</f>
        <v>0.4</v>
      </c>
      <c r="W22" s="16"/>
      <c r="X22" s="21">
        <f>+P22-T22</f>
        <v>-4529.6699999999983</v>
      </c>
      <c r="Y22" s="16"/>
      <c r="Z22" s="20">
        <f>IF(T22=0,0,X22/T22)</f>
        <v>-0.37447668650793636</v>
      </c>
    </row>
    <row r="23" spans="1:26" x14ac:dyDescent="0.3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295</v>
      </c>
      <c r="C24" s="10"/>
      <c r="D24" s="22">
        <f>SUM(OSRRefD22x_0)</f>
        <v>72082.450000000012</v>
      </c>
      <c r="E24" s="22"/>
      <c r="F24" s="31">
        <f t="shared" ref="F24:F35" si="12">IF(D$12=0,0,D24/D$12)</f>
        <v>1.7206413611128222</v>
      </c>
      <c r="G24" s="22"/>
      <c r="H24" s="22">
        <f>SUM(OSRRefH22x_0)</f>
        <v>101676.99049692311</v>
      </c>
      <c r="I24" s="22"/>
      <c r="J24" s="31">
        <f t="shared" ref="J24:J35" si="13">IF(H$12=0,0,H24/H$12)</f>
        <v>3.362334341829468</v>
      </c>
      <c r="K24" s="4"/>
      <c r="L24" s="22">
        <f t="shared" ref="L24:L35" si="14">+D24-H24</f>
        <v>-29594.540496923102</v>
      </c>
      <c r="M24" s="4"/>
      <c r="N24" s="31">
        <f t="shared" ref="N24:N35" si="15">IF(H24=0,0,L24/H24)</f>
        <v>-0.2910642845769385</v>
      </c>
      <c r="O24" s="10"/>
      <c r="P24" s="22">
        <f>SUM(OSRRefP22x_0)</f>
        <v>112847.17999999998</v>
      </c>
      <c r="Q24" s="22"/>
      <c r="R24" s="31">
        <f t="shared" ref="R24:R35" si="16">IF(P$12=0,0,P24/P$12)</f>
        <v>2.6937142868055064</v>
      </c>
      <c r="S24" s="22"/>
      <c r="T24" s="22">
        <f>SUM(OSRRefT22x_0)</f>
        <v>189408.64924307697</v>
      </c>
      <c r="U24" s="22"/>
      <c r="V24" s="31">
        <f t="shared" ref="V24:V35" si="17">IF(T$12=0,0,T24/T$12)</f>
        <v>6.2635135331705349</v>
      </c>
      <c r="W24" s="4"/>
      <c r="X24" s="22">
        <f t="shared" ref="X24:X35" si="18">+P24-T24</f>
        <v>-76561.469243076994</v>
      </c>
      <c r="Y24" s="4"/>
      <c r="Z24" s="31">
        <f t="shared" ref="Z24:Z35" si="19">IF(T24=0,0,X24/T24)</f>
        <v>-0.40421316317409606</v>
      </c>
    </row>
    <row r="25" spans="1:26" s="28" customFormat="1" outlineLevel="1" collapsed="1" x14ac:dyDescent="0.3">
      <c r="A25" s="29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20397.68</v>
      </c>
      <c r="E25" s="1"/>
      <c r="F25" s="5">
        <f t="shared" si="12"/>
        <v>0.4869020389670965</v>
      </c>
      <c r="G25" s="1"/>
      <c r="H25" s="1">
        <f>SUM(OSRRefH22_0x_0)</f>
        <v>29814.995112307726</v>
      </c>
      <c r="I25" s="1"/>
      <c r="J25" s="5">
        <f t="shared" si="13"/>
        <v>0.98594560556573174</v>
      </c>
      <c r="K25" s="1"/>
      <c r="L25" s="1">
        <f t="shared" si="14"/>
        <v>-9417.3151123077259</v>
      </c>
      <c r="M25" s="1"/>
      <c r="N25" s="5">
        <f t="shared" si="15"/>
        <v>-0.31585834835237747</v>
      </c>
      <c r="O25" s="14"/>
      <c r="P25" s="1">
        <f>SUM(OSRRefP22_0x_0)</f>
        <v>38902.54</v>
      </c>
      <c r="Q25" s="1"/>
      <c r="R25" s="5">
        <f t="shared" si="16"/>
        <v>0.9286215906416333</v>
      </c>
      <c r="S25" s="1"/>
      <c r="T25" s="1">
        <f>SUM(OSRRefT22_0x_0)</f>
        <v>63316.284627692366</v>
      </c>
      <c r="U25" s="1"/>
      <c r="V25" s="5">
        <f t="shared" si="17"/>
        <v>2.093792481074483</v>
      </c>
      <c r="W25" s="1"/>
      <c r="X25" s="1">
        <f t="shared" si="18"/>
        <v>-24413.744627692366</v>
      </c>
      <c r="Y25" s="1"/>
      <c r="Z25" s="5">
        <f t="shared" si="19"/>
        <v>-0.38558397371621256</v>
      </c>
    </row>
    <row r="26" spans="1:26" s="24" customFormat="1" hidden="1" outlineLevel="2" x14ac:dyDescent="0.3">
      <c r="A26" s="27"/>
      <c r="B26" s="11" t="str">
        <f>CONCATENATE("          ", "6111", " - ", "F.I.C.A.")</f>
        <v xml:space="preserve">          6111 - F.I.C.A.</v>
      </c>
      <c r="C26" s="11"/>
      <c r="D26" s="6">
        <v>2187.8000000000002</v>
      </c>
      <c r="E26" s="2"/>
      <c r="F26" s="7">
        <f t="shared" si="12"/>
        <v>5.2223796081329536E-2</v>
      </c>
      <c r="G26" s="2"/>
      <c r="H26" s="6">
        <v>3625.0612661538498</v>
      </c>
      <c r="I26" s="2"/>
      <c r="J26" s="7">
        <f t="shared" si="13"/>
        <v>0.11987636462148975</v>
      </c>
      <c r="K26" s="2"/>
      <c r="L26" s="6">
        <f t="shared" si="14"/>
        <v>-1437.2612661538496</v>
      </c>
      <c r="M26" s="2"/>
      <c r="N26" s="7">
        <f t="shared" si="15"/>
        <v>-0.39647916562766622</v>
      </c>
      <c r="O26" s="11"/>
      <c r="P26" s="6">
        <v>3565.04</v>
      </c>
      <c r="Q26" s="2"/>
      <c r="R26" s="7">
        <f t="shared" si="16"/>
        <v>8.5099150736714063E-2</v>
      </c>
      <c r="S26" s="2"/>
      <c r="T26" s="6">
        <v>6917.5584738461603</v>
      </c>
      <c r="U26" s="2"/>
      <c r="V26" s="7">
        <f t="shared" si="17"/>
        <v>0.22875524053724075</v>
      </c>
      <c r="W26" s="2"/>
      <c r="X26" s="6">
        <f t="shared" si="18"/>
        <v>-3352.5184738461603</v>
      </c>
      <c r="Y26" s="2"/>
      <c r="Z26" s="7">
        <f t="shared" si="19"/>
        <v>-0.48463897869766198</v>
      </c>
    </row>
    <row r="27" spans="1:26" s="24" customFormat="1" hidden="1" outlineLevel="2" x14ac:dyDescent="0.3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973.22</v>
      </c>
      <c r="E27" s="2"/>
      <c r="F27" s="7">
        <f t="shared" si="12"/>
        <v>2.3231210724139102E-2</v>
      </c>
      <c r="G27" s="2"/>
      <c r="H27" s="6">
        <v>1977.1613692307701</v>
      </c>
      <c r="I27" s="2"/>
      <c r="J27" s="7">
        <f t="shared" si="13"/>
        <v>6.5382320411070435E-2</v>
      </c>
      <c r="K27" s="2"/>
      <c r="L27" s="6">
        <f t="shared" si="14"/>
        <v>-1003.9413692307701</v>
      </c>
      <c r="M27" s="2"/>
      <c r="N27" s="7">
        <f t="shared" si="15"/>
        <v>-0.50776905965007868</v>
      </c>
      <c r="O27" s="11"/>
      <c r="P27" s="6">
        <v>1620.21</v>
      </c>
      <c r="Q27" s="2"/>
      <c r="R27" s="7">
        <f t="shared" si="16"/>
        <v>3.8675160731753776E-2</v>
      </c>
      <c r="S27" s="2"/>
      <c r="T27" s="6">
        <v>3607.7068307692298</v>
      </c>
      <c r="U27" s="2"/>
      <c r="V27" s="7">
        <f t="shared" si="17"/>
        <v>0.11930247456247453</v>
      </c>
      <c r="W27" s="2"/>
      <c r="X27" s="6">
        <f t="shared" si="18"/>
        <v>-1987.4968307692297</v>
      </c>
      <c r="Y27" s="2"/>
      <c r="Z27" s="7">
        <f t="shared" si="19"/>
        <v>-0.55090308719610093</v>
      </c>
    </row>
    <row r="28" spans="1:26" s="24" customFormat="1" hidden="1" outlineLevel="2" x14ac:dyDescent="0.3">
      <c r="A28" s="27"/>
      <c r="B28" s="11" t="str">
        <f>CONCATENATE("          ", "6113", " - ", "GROUP INSURANCE")</f>
        <v xml:space="preserve">          6113 - GROUP INSURANCE</v>
      </c>
      <c r="C28" s="11"/>
      <c r="D28" s="6">
        <v>12451.66</v>
      </c>
      <c r="E28" s="2"/>
      <c r="F28" s="7">
        <f t="shared" si="12"/>
        <v>0.29722687298384115</v>
      </c>
      <c r="G28" s="2"/>
      <c r="H28" s="6">
        <v>18578.538461538501</v>
      </c>
      <c r="I28" s="2"/>
      <c r="J28" s="7">
        <f t="shared" si="13"/>
        <v>0.61436965811965938</v>
      </c>
      <c r="K28" s="2"/>
      <c r="L28" s="6">
        <f t="shared" si="14"/>
        <v>-6126.8784615385011</v>
      </c>
      <c r="M28" s="2"/>
      <c r="N28" s="7">
        <f t="shared" si="15"/>
        <v>-0.3297825861933345</v>
      </c>
      <c r="O28" s="11"/>
      <c r="P28" s="6">
        <v>24903.33</v>
      </c>
      <c r="Q28" s="2"/>
      <c r="R28" s="7">
        <f t="shared" si="16"/>
        <v>0.59445398467229915</v>
      </c>
      <c r="S28" s="2"/>
      <c r="T28" s="6">
        <v>41307.461538461597</v>
      </c>
      <c r="U28" s="2"/>
      <c r="V28" s="7">
        <f t="shared" si="17"/>
        <v>1.3659874847374867</v>
      </c>
      <c r="W28" s="2"/>
      <c r="X28" s="6">
        <f t="shared" si="18"/>
        <v>-16404.131538461595</v>
      </c>
      <c r="Y28" s="2"/>
      <c r="Z28" s="7">
        <f t="shared" si="19"/>
        <v>-0.39712272135598603</v>
      </c>
    </row>
    <row r="29" spans="1:26" s="24" customFormat="1" hidden="1" outlineLevel="2" x14ac:dyDescent="0.3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70.290000000000006</v>
      </c>
      <c r="E29" s="2"/>
      <c r="F29" s="7">
        <f t="shared" si="12"/>
        <v>1.6778547520599017E-3</v>
      </c>
      <c r="G29" s="2"/>
      <c r="H29" s="6">
        <v>109.55247692307699</v>
      </c>
      <c r="I29" s="2"/>
      <c r="J29" s="7">
        <f t="shared" si="13"/>
        <v>3.6227670940170965E-3</v>
      </c>
      <c r="K29" s="2"/>
      <c r="L29" s="6">
        <f t="shared" si="14"/>
        <v>-39.262476923076989</v>
      </c>
      <c r="M29" s="2"/>
      <c r="N29" s="7">
        <f t="shared" si="15"/>
        <v>-0.35838967794991433</v>
      </c>
      <c r="O29" s="11"/>
      <c r="P29" s="6">
        <v>117.02</v>
      </c>
      <c r="Q29" s="2"/>
      <c r="R29" s="7">
        <f t="shared" si="16"/>
        <v>2.7933214267470432E-3</v>
      </c>
      <c r="S29" s="2"/>
      <c r="T29" s="6">
        <v>199.899323076923</v>
      </c>
      <c r="U29" s="2"/>
      <c r="V29" s="7">
        <f t="shared" si="17"/>
        <v>6.610427350427348E-3</v>
      </c>
      <c r="W29" s="2"/>
      <c r="X29" s="6">
        <f t="shared" si="18"/>
        <v>-82.879323076923001</v>
      </c>
      <c r="Y29" s="2"/>
      <c r="Z29" s="7">
        <f t="shared" si="19"/>
        <v>-0.41460532132482669</v>
      </c>
    </row>
    <row r="30" spans="1:26" s="24" customFormat="1" hidden="1" outlineLevel="2" x14ac:dyDescent="0.3">
      <c r="A30" s="27"/>
      <c r="B30" s="11" t="str">
        <f>CONCATENATE("          ", "6115", " - ", "P.E.R.S.")</f>
        <v xml:space="preserve">          6115 - P.E.R.S.</v>
      </c>
      <c r="C30" s="11"/>
      <c r="D30" s="6">
        <v>685.93</v>
      </c>
      <c r="E30" s="2"/>
      <c r="F30" s="7">
        <f t="shared" si="12"/>
        <v>1.6373465785751148E-2</v>
      </c>
      <c r="G30" s="2"/>
      <c r="H30" s="6">
        <v>408.83076923076902</v>
      </c>
      <c r="I30" s="2"/>
      <c r="J30" s="7">
        <f t="shared" si="13"/>
        <v>1.3519536019536012E-2</v>
      </c>
      <c r="K30" s="2"/>
      <c r="L30" s="6">
        <f t="shared" si="14"/>
        <v>277.09923076923093</v>
      </c>
      <c r="M30" s="2"/>
      <c r="N30" s="7">
        <f t="shared" si="15"/>
        <v>0.67778467675171294</v>
      </c>
      <c r="O30" s="11"/>
      <c r="P30" s="6">
        <v>1173.3499999999999</v>
      </c>
      <c r="Q30" s="2"/>
      <c r="R30" s="7">
        <f t="shared" si="16"/>
        <v>2.8008406221788098E-2</v>
      </c>
      <c r="S30" s="2"/>
      <c r="T30" s="6">
        <v>919.86923076923097</v>
      </c>
      <c r="U30" s="2"/>
      <c r="V30" s="7">
        <f t="shared" si="17"/>
        <v>3.0418956043956051E-2</v>
      </c>
      <c r="W30" s="2"/>
      <c r="X30" s="6">
        <f t="shared" si="18"/>
        <v>253.48076923076894</v>
      </c>
      <c r="Y30" s="2"/>
      <c r="Z30" s="7">
        <f t="shared" si="19"/>
        <v>0.27556174372611453</v>
      </c>
    </row>
    <row r="31" spans="1:26" s="24" customFormat="1" hidden="1" outlineLevel="2" x14ac:dyDescent="0.3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3">
      <c r="A32" s="27"/>
      <c r="B32" s="11" t="str">
        <f>CONCATENATE("          ", "6117", " - ", "RETIREMENT STAFF HOURLY")</f>
        <v xml:space="preserve">          6117 - RETIREMENT STAFF HOURLY</v>
      </c>
      <c r="C32" s="11"/>
      <c r="D32" s="6">
        <v>921.45</v>
      </c>
      <c r="E32" s="2"/>
      <c r="F32" s="7">
        <f t="shared" si="12"/>
        <v>2.1995436922543694E-2</v>
      </c>
      <c r="G32" s="2"/>
      <c r="H32" s="6"/>
      <c r="I32" s="2"/>
      <c r="J32" s="7">
        <f t="shared" si="13"/>
        <v>0</v>
      </c>
      <c r="K32" s="2"/>
      <c r="L32" s="6">
        <f t="shared" si="14"/>
        <v>921.45</v>
      </c>
      <c r="M32" s="2"/>
      <c r="N32" s="7">
        <f t="shared" si="15"/>
        <v>0</v>
      </c>
      <c r="O32" s="11"/>
      <c r="P32" s="6">
        <v>1433.64</v>
      </c>
      <c r="Q32" s="2"/>
      <c r="R32" s="7">
        <f t="shared" si="16"/>
        <v>3.4221648694596062E-2</v>
      </c>
      <c r="S32" s="2"/>
      <c r="T32" s="6"/>
      <c r="U32" s="2"/>
      <c r="V32" s="7">
        <f t="shared" si="17"/>
        <v>0</v>
      </c>
      <c r="W32" s="2"/>
      <c r="X32" s="6">
        <f t="shared" si="18"/>
        <v>1433.64</v>
      </c>
      <c r="Y32" s="2"/>
      <c r="Z32" s="7">
        <f t="shared" si="19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6">
        <v>1329.08</v>
      </c>
      <c r="E33" s="2"/>
      <c r="F33" s="7">
        <f t="shared" si="12"/>
        <v>3.1725753220483335E-2</v>
      </c>
      <c r="G33" s="2"/>
      <c r="H33" s="6">
        <v>1625.81538461538</v>
      </c>
      <c r="I33" s="2"/>
      <c r="J33" s="7">
        <f t="shared" si="13"/>
        <v>5.3763736263736109E-2</v>
      </c>
      <c r="K33" s="2"/>
      <c r="L33" s="6">
        <f t="shared" si="14"/>
        <v>-296.7353846153801</v>
      </c>
      <c r="M33" s="2"/>
      <c r="N33" s="7">
        <f t="shared" si="15"/>
        <v>-0.18251480913718807</v>
      </c>
      <c r="O33" s="11"/>
      <c r="P33" s="6">
        <v>2589.67</v>
      </c>
      <c r="Q33" s="2"/>
      <c r="R33" s="7">
        <f t="shared" si="16"/>
        <v>6.1816618519945445E-2</v>
      </c>
      <c r="S33" s="2"/>
      <c r="T33" s="6">
        <v>3658.0846153846101</v>
      </c>
      <c r="U33" s="2"/>
      <c r="V33" s="7">
        <f t="shared" si="17"/>
        <v>0.12096840659340642</v>
      </c>
      <c r="W33" s="2"/>
      <c r="X33" s="6">
        <f t="shared" si="18"/>
        <v>-1068.41461538461</v>
      </c>
      <c r="Y33" s="2"/>
      <c r="Z33" s="7">
        <f t="shared" si="19"/>
        <v>-0.2920694100107023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6">
        <v>1060.42</v>
      </c>
      <c r="E34" s="2"/>
      <c r="F34" s="7">
        <f t="shared" si="12"/>
        <v>2.5312714983345582E-2</v>
      </c>
      <c r="G34" s="2"/>
      <c r="H34" s="6">
        <v>1565.0353846153801</v>
      </c>
      <c r="I34" s="2"/>
      <c r="J34" s="7">
        <f t="shared" si="13"/>
        <v>5.175381562881548E-2</v>
      </c>
      <c r="K34" s="2"/>
      <c r="L34" s="6">
        <f t="shared" si="14"/>
        <v>-504.61538461537998</v>
      </c>
      <c r="M34" s="2"/>
      <c r="N34" s="7">
        <f t="shared" si="15"/>
        <v>-0.32243065529115383</v>
      </c>
      <c r="O34" s="11"/>
      <c r="P34" s="6">
        <v>2021.83</v>
      </c>
      <c r="Q34" s="2"/>
      <c r="R34" s="7">
        <f t="shared" si="16"/>
        <v>4.8262015554947656E-2</v>
      </c>
      <c r="S34" s="2"/>
      <c r="T34" s="6">
        <v>2855.70461538461</v>
      </c>
      <c r="U34" s="2"/>
      <c r="V34" s="7">
        <f t="shared" si="17"/>
        <v>9.4434676434676249E-2</v>
      </c>
      <c r="W34" s="2"/>
      <c r="X34" s="6">
        <f t="shared" si="18"/>
        <v>-833.87461538461002</v>
      </c>
      <c r="Y34" s="2"/>
      <c r="Z34" s="7">
        <f t="shared" si="19"/>
        <v>-0.29200310525544421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6">
        <v>717.83</v>
      </c>
      <c r="E35" s="2"/>
      <c r="F35" s="7">
        <f t="shared" si="12"/>
        <v>1.7134933513603061E-2</v>
      </c>
      <c r="G35" s="2"/>
      <c r="H35" s="6">
        <v>1925</v>
      </c>
      <c r="I35" s="2"/>
      <c r="J35" s="7">
        <f t="shared" si="13"/>
        <v>6.3657407407407413E-2</v>
      </c>
      <c r="K35" s="2"/>
      <c r="L35" s="6">
        <f t="shared" si="14"/>
        <v>-1207.17</v>
      </c>
      <c r="M35" s="2"/>
      <c r="N35" s="7">
        <f t="shared" si="15"/>
        <v>-0.62710129870129871</v>
      </c>
      <c r="O35" s="11"/>
      <c r="P35" s="6">
        <v>1478.45</v>
      </c>
      <c r="Q35" s="2"/>
      <c r="R35" s="7">
        <f t="shared" si="16"/>
        <v>3.5291284082841962E-2</v>
      </c>
      <c r="S35" s="2"/>
      <c r="T35" s="6">
        <v>3850</v>
      </c>
      <c r="U35" s="2"/>
      <c r="V35" s="7">
        <f t="shared" si="17"/>
        <v>0.12731481481481483</v>
      </c>
      <c r="W35" s="2"/>
      <c r="X35" s="6">
        <f t="shared" si="18"/>
        <v>-2371.5500000000002</v>
      </c>
      <c r="Y35" s="2"/>
      <c r="Z35" s="7">
        <f t="shared" si="19"/>
        <v>-0.61598701298701308</v>
      </c>
    </row>
    <row r="36" spans="1:26" s="28" customFormat="1" outlineLevel="1" collapsed="1" x14ac:dyDescent="0.3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33411.229999999996</v>
      </c>
      <c r="E36" s="1"/>
      <c r="F36" s="5">
        <f t="shared" ref="F36:F46" si="20">IF(D$12=0,0,D36/D$12)</f>
        <v>0.79754148566889083</v>
      </c>
      <c r="G36" s="1"/>
      <c r="H36" s="1">
        <f>SUM(OSRRefH22_1x_0)</f>
        <v>48976.99538461538</v>
      </c>
      <c r="I36" s="1"/>
      <c r="J36" s="5">
        <f t="shared" ref="J36:J46" si="21">IF(H$12=0,0,H36/H$12)</f>
        <v>1.6196096357346357</v>
      </c>
      <c r="K36" s="1"/>
      <c r="L36" s="1">
        <f t="shared" ref="L36:L46" si="22">+D36-H36</f>
        <v>-15565.765384615384</v>
      </c>
      <c r="M36" s="1"/>
      <c r="N36" s="5">
        <f t="shared" ref="N36:N46" si="23">IF(H36=0,0,L36/H36)</f>
        <v>-0.31781789108085817</v>
      </c>
      <c r="O36" s="14"/>
      <c r="P36" s="1">
        <f>SUM(OSRRefP22_1x_0)</f>
        <v>52928.4</v>
      </c>
      <c r="Q36" s="1"/>
      <c r="R36" s="5">
        <f t="shared" ref="R36:R46" si="24">IF(P$12=0,0,P36/P$12)</f>
        <v>1.2634253444149566</v>
      </c>
      <c r="S36" s="1"/>
      <c r="T36" s="1">
        <f>SUM(OSRRefT22_1x_0)</f>
        <v>88676.364615384606</v>
      </c>
      <c r="U36" s="1"/>
      <c r="V36" s="5">
        <f t="shared" ref="V36:V46" si="25">IF(T$12=0,0,T36/T$12)</f>
        <v>2.9324194647944646</v>
      </c>
      <c r="W36" s="1"/>
      <c r="X36" s="1">
        <f t="shared" ref="X36:X46" si="26">+P36-T36</f>
        <v>-35747.964615384604</v>
      </c>
      <c r="Y36" s="1"/>
      <c r="Z36" s="5">
        <f t="shared" ref="Z36:Z46" si="27">IF(T36=0,0,X36/T36)</f>
        <v>-0.40312844093726674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6">
        <v>4819.3900000000003</v>
      </c>
      <c r="E38" s="2"/>
      <c r="F38" s="7">
        <f t="shared" si="20"/>
        <v>0.11504106435524213</v>
      </c>
      <c r="G38" s="2"/>
      <c r="H38" s="6">
        <v>4468.6153846153802</v>
      </c>
      <c r="I38" s="2"/>
      <c r="J38" s="7">
        <f t="shared" si="21"/>
        <v>0.14777167277167264</v>
      </c>
      <c r="K38" s="2"/>
      <c r="L38" s="6">
        <f t="shared" si="22"/>
        <v>350.77461538462012</v>
      </c>
      <c r="M38" s="2"/>
      <c r="N38" s="7">
        <f t="shared" si="23"/>
        <v>7.849738346071862E-2</v>
      </c>
      <c r="O38" s="11"/>
      <c r="P38" s="6">
        <v>10419.39</v>
      </c>
      <c r="Q38" s="2"/>
      <c r="R38" s="7">
        <f t="shared" si="24"/>
        <v>0.2487156498088692</v>
      </c>
      <c r="S38" s="2"/>
      <c r="T38" s="6">
        <v>10054.384615384601</v>
      </c>
      <c r="U38" s="2"/>
      <c r="V38" s="7">
        <f t="shared" si="25"/>
        <v>0.33248626373626328</v>
      </c>
      <c r="W38" s="2"/>
      <c r="X38" s="6">
        <f t="shared" si="26"/>
        <v>365.00538461539873</v>
      </c>
      <c r="Y38" s="2"/>
      <c r="Z38" s="7">
        <f t="shared" si="27"/>
        <v>3.6303105418992024E-2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6">
        <v>15407.3</v>
      </c>
      <c r="E40" s="2"/>
      <c r="F40" s="7">
        <f t="shared" si="20"/>
        <v>0.36777936436779796</v>
      </c>
      <c r="G40" s="2"/>
      <c r="H40" s="6">
        <v>27290.880000000001</v>
      </c>
      <c r="I40" s="2"/>
      <c r="J40" s="7">
        <f t="shared" si="21"/>
        <v>0.90247619047619054</v>
      </c>
      <c r="K40" s="2"/>
      <c r="L40" s="6">
        <f t="shared" si="22"/>
        <v>-11883.580000000002</v>
      </c>
      <c r="M40" s="2"/>
      <c r="N40" s="7">
        <f t="shared" si="23"/>
        <v>-0.43544143684630182</v>
      </c>
      <c r="O40" s="11"/>
      <c r="P40" s="6">
        <v>27244.47</v>
      </c>
      <c r="Q40" s="2"/>
      <c r="R40" s="7">
        <f t="shared" si="24"/>
        <v>0.65033807734888927</v>
      </c>
      <c r="S40" s="2"/>
      <c r="T40" s="6">
        <v>61404.480000000003</v>
      </c>
      <c r="U40" s="2"/>
      <c r="V40" s="7">
        <f t="shared" si="25"/>
        <v>2.0305714285714287</v>
      </c>
      <c r="W40" s="2"/>
      <c r="X40" s="6">
        <f t="shared" si="26"/>
        <v>-34160.01</v>
      </c>
      <c r="Y40" s="2"/>
      <c r="Z40" s="7">
        <f t="shared" si="27"/>
        <v>-0.55631136360083178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1407.68</v>
      </c>
      <c r="E41" s="2"/>
      <c r="F41" s="7">
        <f t="shared" si="20"/>
        <v>3.3601971509171748E-2</v>
      </c>
      <c r="G41" s="2"/>
      <c r="H41" s="6">
        <v>4656</v>
      </c>
      <c r="I41" s="2"/>
      <c r="J41" s="7">
        <f t="shared" si="21"/>
        <v>0.15396825396825398</v>
      </c>
      <c r="K41" s="2"/>
      <c r="L41" s="6">
        <f t="shared" si="22"/>
        <v>-3248.3199999999997</v>
      </c>
      <c r="M41" s="2"/>
      <c r="N41" s="7">
        <f t="shared" si="23"/>
        <v>-0.69766323024054977</v>
      </c>
      <c r="O41" s="11"/>
      <c r="P41" s="6">
        <v>1407.68</v>
      </c>
      <c r="Q41" s="2"/>
      <c r="R41" s="7">
        <f t="shared" si="24"/>
        <v>3.3601971509171748E-2</v>
      </c>
      <c r="S41" s="2"/>
      <c r="T41" s="6">
        <v>4656</v>
      </c>
      <c r="U41" s="2"/>
      <c r="V41" s="7">
        <f t="shared" si="25"/>
        <v>0.15396825396825398</v>
      </c>
      <c r="W41" s="2"/>
      <c r="X41" s="6">
        <f t="shared" si="26"/>
        <v>-3248.3199999999997</v>
      </c>
      <c r="Y41" s="2"/>
      <c r="Z41" s="7">
        <f t="shared" si="27"/>
        <v>-0.69766323024054977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6">
        <v>11776.86</v>
      </c>
      <c r="E43" s="2"/>
      <c r="F43" s="7">
        <f t="shared" si="20"/>
        <v>0.28111908543667907</v>
      </c>
      <c r="G43" s="2"/>
      <c r="H43" s="6">
        <v>12561.5</v>
      </c>
      <c r="I43" s="2"/>
      <c r="J43" s="7">
        <f t="shared" si="21"/>
        <v>0.41539351851851852</v>
      </c>
      <c r="K43" s="2"/>
      <c r="L43" s="6">
        <f t="shared" si="22"/>
        <v>-784.63999999999942</v>
      </c>
      <c r="M43" s="2"/>
      <c r="N43" s="7">
        <f t="shared" si="23"/>
        <v>-6.2463877721609634E-2</v>
      </c>
      <c r="O43" s="11"/>
      <c r="P43" s="6">
        <v>13856.86</v>
      </c>
      <c r="Q43" s="2"/>
      <c r="R43" s="7">
        <f t="shared" si="24"/>
        <v>0.33076964574802631</v>
      </c>
      <c r="S43" s="2"/>
      <c r="T43" s="6">
        <v>12561.5</v>
      </c>
      <c r="U43" s="2"/>
      <c r="V43" s="7">
        <f t="shared" si="25"/>
        <v>0.41539351851851852</v>
      </c>
      <c r="W43" s="2"/>
      <c r="X43" s="6">
        <f t="shared" si="26"/>
        <v>1295.3600000000006</v>
      </c>
      <c r="Y43" s="2"/>
      <c r="Z43" s="7">
        <f t="shared" si="27"/>
        <v>0.10312144250288585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8" customFormat="1" outlineLevel="1" collapsed="1" x14ac:dyDescent="0.3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722.41</v>
      </c>
      <c r="E47" s="1"/>
      <c r="F47" s="5">
        <f t="shared" ref="F47:F67" si="28">IF(D$12=0,0,D47/D$12)</f>
        <v>1.7244260228134776E-2</v>
      </c>
      <c r="G47" s="1"/>
      <c r="H47" s="1">
        <f>SUM(OSRRefH22_2x_0)</f>
        <v>350</v>
      </c>
      <c r="I47" s="1"/>
      <c r="J47" s="5">
        <f t="shared" ref="J47:J67" si="29">IF(H$12=0,0,H47/H$12)</f>
        <v>1.1574074074074073E-2</v>
      </c>
      <c r="K47" s="1"/>
      <c r="L47" s="1">
        <f t="shared" ref="L47:L67" si="30">+D47-H47</f>
        <v>372.40999999999997</v>
      </c>
      <c r="M47" s="1"/>
      <c r="N47" s="5">
        <f t="shared" ref="N47:N67" si="31">IF(H47=0,0,L47/H47)</f>
        <v>1.0640285714285713</v>
      </c>
      <c r="O47" s="14"/>
      <c r="P47" s="1">
        <f>SUM(OSRRefP22_2x_0)</f>
        <v>762.73</v>
      </c>
      <c r="Q47" s="1"/>
      <c r="R47" s="5">
        <f t="shared" ref="R47:R67" si="32">IF(P$12=0,0,P47/P$12)</f>
        <v>1.8206717243400894E-2</v>
      </c>
      <c r="S47" s="1"/>
      <c r="T47" s="1">
        <f>SUM(OSRRefT22_2x_0)</f>
        <v>700</v>
      </c>
      <c r="U47" s="1"/>
      <c r="V47" s="5">
        <f t="shared" ref="V47:V67" si="33">IF(T$12=0,0,T47/T$12)</f>
        <v>2.3148148148148147E-2</v>
      </c>
      <c r="W47" s="1"/>
      <c r="X47" s="1">
        <f t="shared" ref="X47:X67" si="34">+P47-T47</f>
        <v>62.730000000000018</v>
      </c>
      <c r="Y47" s="1"/>
      <c r="Z47" s="5">
        <f t="shared" ref="Z47:Z67" si="35">IF(T47=0,0,X47/T47)</f>
        <v>8.9614285714285744E-2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722.41</v>
      </c>
      <c r="E48" s="2"/>
      <c r="F48" s="7">
        <f t="shared" si="28"/>
        <v>1.7244260228134776E-2</v>
      </c>
      <c r="G48" s="2"/>
      <c r="H48" s="6">
        <v>350</v>
      </c>
      <c r="I48" s="2"/>
      <c r="J48" s="7">
        <f t="shared" si="29"/>
        <v>1.1574074074074073E-2</v>
      </c>
      <c r="K48" s="2"/>
      <c r="L48" s="6">
        <f t="shared" si="30"/>
        <v>372.40999999999997</v>
      </c>
      <c r="M48" s="2"/>
      <c r="N48" s="7">
        <f t="shared" si="31"/>
        <v>1.0640285714285713</v>
      </c>
      <c r="O48" s="11"/>
      <c r="P48" s="6">
        <v>762.73</v>
      </c>
      <c r="Q48" s="2"/>
      <c r="R48" s="7">
        <f t="shared" si="32"/>
        <v>1.8206717243400894E-2</v>
      </c>
      <c r="S48" s="2"/>
      <c r="T48" s="6">
        <v>700</v>
      </c>
      <c r="U48" s="2"/>
      <c r="V48" s="7">
        <f t="shared" si="33"/>
        <v>2.3148148148148147E-2</v>
      </c>
      <c r="W48" s="2"/>
      <c r="X48" s="6">
        <f t="shared" si="34"/>
        <v>62.730000000000018</v>
      </c>
      <c r="Y48" s="2"/>
      <c r="Z48" s="7">
        <f t="shared" si="35"/>
        <v>8.9614285714285744E-2</v>
      </c>
    </row>
    <row r="49" spans="1:26" s="28" customFormat="1" outlineLevel="1" collapsed="1" x14ac:dyDescent="0.3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0</v>
      </c>
      <c r="E49" s="1"/>
      <c r="F49" s="5">
        <f t="shared" si="28"/>
        <v>0</v>
      </c>
      <c r="G49" s="1"/>
      <c r="H49" s="1">
        <f>SUM(OSRRefH22_3x_0)</f>
        <v>10</v>
      </c>
      <c r="I49" s="1"/>
      <c r="J49" s="5">
        <f t="shared" si="29"/>
        <v>3.3068783068783067E-4</v>
      </c>
      <c r="K49" s="1"/>
      <c r="L49" s="1">
        <f t="shared" si="30"/>
        <v>-10</v>
      </c>
      <c r="M49" s="1"/>
      <c r="N49" s="5">
        <f t="shared" si="31"/>
        <v>-1</v>
      </c>
      <c r="O49" s="14"/>
      <c r="P49" s="1">
        <f>SUM(OSRRefP22_3x_0)</f>
        <v>0</v>
      </c>
      <c r="Q49" s="1"/>
      <c r="R49" s="5">
        <f t="shared" si="32"/>
        <v>0</v>
      </c>
      <c r="S49" s="1"/>
      <c r="T49" s="1">
        <f>SUM(OSRRefT22_3x_0)</f>
        <v>10</v>
      </c>
      <c r="U49" s="1"/>
      <c r="V49" s="5">
        <f t="shared" si="33"/>
        <v>3.3068783068783067E-4</v>
      </c>
      <c r="W49" s="1"/>
      <c r="X49" s="1">
        <f t="shared" si="34"/>
        <v>-10</v>
      </c>
      <c r="Y49" s="1"/>
      <c r="Z49" s="5">
        <f t="shared" si="35"/>
        <v>-1</v>
      </c>
    </row>
    <row r="50" spans="1:26" s="24" customFormat="1" hidden="1" outlineLevel="2" x14ac:dyDescent="0.3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8"/>
        <v>0</v>
      </c>
      <c r="G50" s="2"/>
      <c r="H50" s="6">
        <v>10</v>
      </c>
      <c r="I50" s="2"/>
      <c r="J50" s="7">
        <f t="shared" si="29"/>
        <v>3.3068783068783067E-4</v>
      </c>
      <c r="K50" s="2"/>
      <c r="L50" s="6">
        <f t="shared" si="30"/>
        <v>-10</v>
      </c>
      <c r="M50" s="2"/>
      <c r="N50" s="7">
        <f t="shared" si="31"/>
        <v>-1</v>
      </c>
      <c r="O50" s="11"/>
      <c r="P50" s="6"/>
      <c r="Q50" s="2"/>
      <c r="R50" s="7">
        <f t="shared" si="32"/>
        <v>0</v>
      </c>
      <c r="S50" s="2"/>
      <c r="T50" s="6">
        <v>10</v>
      </c>
      <c r="U50" s="2"/>
      <c r="V50" s="7">
        <f t="shared" si="33"/>
        <v>3.3068783068783067E-4</v>
      </c>
      <c r="W50" s="2"/>
      <c r="X50" s="6">
        <f t="shared" si="34"/>
        <v>-10</v>
      </c>
      <c r="Y50" s="2"/>
      <c r="Z50" s="7">
        <f t="shared" si="35"/>
        <v>-1</v>
      </c>
    </row>
    <row r="51" spans="1:26" s="28" customFormat="1" outlineLevel="1" collapsed="1" x14ac:dyDescent="0.3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40.56</v>
      </c>
      <c r="E51" s="1"/>
      <c r="F51" s="5">
        <f t="shared" si="28"/>
        <v>9.6818592607127055E-4</v>
      </c>
      <c r="G51" s="1"/>
      <c r="H51" s="1">
        <f>SUM(OSRRefH22_4x_0)</f>
        <v>25</v>
      </c>
      <c r="I51" s="1"/>
      <c r="J51" s="5">
        <f t="shared" si="29"/>
        <v>8.2671957671957667E-4</v>
      </c>
      <c r="K51" s="1"/>
      <c r="L51" s="1">
        <f t="shared" si="30"/>
        <v>15.560000000000002</v>
      </c>
      <c r="M51" s="1"/>
      <c r="N51" s="5">
        <f t="shared" si="31"/>
        <v>0.62240000000000006</v>
      </c>
      <c r="O51" s="14"/>
      <c r="P51" s="1">
        <f>SUM(OSRRefP22_4x_0)</f>
        <v>40.56</v>
      </c>
      <c r="Q51" s="1"/>
      <c r="R51" s="5">
        <f t="shared" si="32"/>
        <v>9.6818592607127055E-4</v>
      </c>
      <c r="S51" s="1"/>
      <c r="T51" s="1">
        <f>SUM(OSRRefT22_4x_0)</f>
        <v>25</v>
      </c>
      <c r="U51" s="1"/>
      <c r="V51" s="5">
        <f t="shared" si="33"/>
        <v>8.2671957671957667E-4</v>
      </c>
      <c r="W51" s="1"/>
      <c r="X51" s="1">
        <f t="shared" si="34"/>
        <v>15.560000000000002</v>
      </c>
      <c r="Y51" s="1"/>
      <c r="Z51" s="5">
        <f t="shared" si="35"/>
        <v>0.62240000000000006</v>
      </c>
    </row>
    <row r="52" spans="1:26" s="24" customFormat="1" hidden="1" outlineLevel="2" x14ac:dyDescent="0.3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40.56</v>
      </c>
      <c r="E52" s="2"/>
      <c r="F52" s="7">
        <f t="shared" si="28"/>
        <v>9.6818592607127055E-4</v>
      </c>
      <c r="G52" s="2"/>
      <c r="H52" s="6">
        <v>25</v>
      </c>
      <c r="I52" s="2"/>
      <c r="J52" s="7">
        <f t="shared" si="29"/>
        <v>8.2671957671957667E-4</v>
      </c>
      <c r="K52" s="2"/>
      <c r="L52" s="6">
        <f t="shared" si="30"/>
        <v>15.560000000000002</v>
      </c>
      <c r="M52" s="2"/>
      <c r="N52" s="7">
        <f t="shared" si="31"/>
        <v>0.62240000000000006</v>
      </c>
      <c r="O52" s="11"/>
      <c r="P52" s="6">
        <v>40.56</v>
      </c>
      <c r="Q52" s="2"/>
      <c r="R52" s="7">
        <f t="shared" si="32"/>
        <v>9.6818592607127055E-4</v>
      </c>
      <c r="S52" s="2"/>
      <c r="T52" s="6">
        <v>25</v>
      </c>
      <c r="U52" s="2"/>
      <c r="V52" s="7">
        <f t="shared" si="33"/>
        <v>8.2671957671957667E-4</v>
      </c>
      <c r="W52" s="2"/>
      <c r="X52" s="6">
        <f t="shared" si="34"/>
        <v>15.560000000000002</v>
      </c>
      <c r="Y52" s="2"/>
      <c r="Z52" s="7">
        <f t="shared" si="35"/>
        <v>0.62240000000000006</v>
      </c>
    </row>
    <row r="53" spans="1:26" s="28" customFormat="1" outlineLevel="1" collapsed="1" x14ac:dyDescent="0.3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213.02</v>
      </c>
      <c r="E53" s="1"/>
      <c r="F53" s="5">
        <f t="shared" si="28"/>
        <v>5.084885748809222E-3</v>
      </c>
      <c r="G53" s="1"/>
      <c r="H53" s="1">
        <f>SUM(OSRRefH22_5x_0)</f>
        <v>213</v>
      </c>
      <c r="I53" s="1"/>
      <c r="J53" s="5">
        <f t="shared" si="29"/>
        <v>7.0436507936507938E-3</v>
      </c>
      <c r="K53" s="1"/>
      <c r="L53" s="1">
        <f t="shared" si="30"/>
        <v>2.0000000000010232E-2</v>
      </c>
      <c r="M53" s="1"/>
      <c r="N53" s="5">
        <f t="shared" si="31"/>
        <v>9.3896713615071505E-5</v>
      </c>
      <c r="O53" s="14"/>
      <c r="P53" s="1">
        <f>SUM(OSRRefP22_5x_0)</f>
        <v>426.04</v>
      </c>
      <c r="Q53" s="1"/>
      <c r="R53" s="5">
        <f t="shared" si="32"/>
        <v>1.0169771497618444E-2</v>
      </c>
      <c r="S53" s="1"/>
      <c r="T53" s="1">
        <f>SUM(OSRRefT22_5x_0)</f>
        <v>426</v>
      </c>
      <c r="U53" s="1"/>
      <c r="V53" s="5">
        <f t="shared" si="33"/>
        <v>1.4087301587301588E-2</v>
      </c>
      <c r="W53" s="1"/>
      <c r="X53" s="1">
        <f t="shared" si="34"/>
        <v>4.0000000000020464E-2</v>
      </c>
      <c r="Y53" s="1"/>
      <c r="Z53" s="5">
        <f t="shared" si="35"/>
        <v>9.3896713615071505E-5</v>
      </c>
    </row>
    <row r="54" spans="1:26" s="24" customFormat="1" hidden="1" outlineLevel="2" x14ac:dyDescent="0.3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213.02</v>
      </c>
      <c r="E54" s="2"/>
      <c r="F54" s="7">
        <f t="shared" si="28"/>
        <v>5.084885748809222E-3</v>
      </c>
      <c r="G54" s="2"/>
      <c r="H54" s="6">
        <v>213</v>
      </c>
      <c r="I54" s="2"/>
      <c r="J54" s="7">
        <f t="shared" si="29"/>
        <v>7.0436507936507938E-3</v>
      </c>
      <c r="K54" s="2"/>
      <c r="L54" s="6">
        <f t="shared" si="30"/>
        <v>2.0000000000010232E-2</v>
      </c>
      <c r="M54" s="2"/>
      <c r="N54" s="7">
        <f t="shared" si="31"/>
        <v>9.3896713615071505E-5</v>
      </c>
      <c r="O54" s="11"/>
      <c r="P54" s="6">
        <v>426.04</v>
      </c>
      <c r="Q54" s="2"/>
      <c r="R54" s="7">
        <f t="shared" si="32"/>
        <v>1.0169771497618444E-2</v>
      </c>
      <c r="S54" s="2"/>
      <c r="T54" s="6">
        <v>426</v>
      </c>
      <c r="U54" s="2"/>
      <c r="V54" s="7">
        <f t="shared" si="33"/>
        <v>1.4087301587301588E-2</v>
      </c>
      <c r="W54" s="2"/>
      <c r="X54" s="6">
        <f t="shared" si="34"/>
        <v>4.0000000000020464E-2</v>
      </c>
      <c r="Y54" s="2"/>
      <c r="Z54" s="7">
        <f t="shared" si="35"/>
        <v>9.3896713615071505E-5</v>
      </c>
    </row>
    <row r="55" spans="1:26" s="28" customFormat="1" outlineLevel="1" collapsed="1" x14ac:dyDescent="0.3">
      <c r="A55" s="29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SUM(OSRRefD22_6x_0)</f>
        <v>662.3</v>
      </c>
      <c r="E55" s="1"/>
      <c r="F55" s="5">
        <f t="shared" si="28"/>
        <v>1.5809406776060218E-2</v>
      </c>
      <c r="G55" s="1"/>
      <c r="H55" s="1">
        <f>SUM(OSRRefH22_6x_0)</f>
        <v>3000</v>
      </c>
      <c r="I55" s="1"/>
      <c r="J55" s="5">
        <f t="shared" si="29"/>
        <v>9.9206349206349201E-2</v>
      </c>
      <c r="K55" s="1"/>
      <c r="L55" s="1">
        <f t="shared" si="30"/>
        <v>-2337.6999999999998</v>
      </c>
      <c r="M55" s="1"/>
      <c r="N55" s="5">
        <f t="shared" si="31"/>
        <v>-0.77923333333333322</v>
      </c>
      <c r="O55" s="14"/>
      <c r="P55" s="1">
        <f>SUM(OSRRefP22_6x_0)</f>
        <v>662.3</v>
      </c>
      <c r="Q55" s="1"/>
      <c r="R55" s="5">
        <f t="shared" si="32"/>
        <v>1.5809406776060218E-2</v>
      </c>
      <c r="S55" s="1"/>
      <c r="T55" s="1">
        <f>SUM(OSRRefT22_6x_0)</f>
        <v>3000</v>
      </c>
      <c r="U55" s="1"/>
      <c r="V55" s="5">
        <f t="shared" si="33"/>
        <v>9.9206349206349201E-2</v>
      </c>
      <c r="W55" s="1"/>
      <c r="X55" s="1">
        <f t="shared" si="34"/>
        <v>-2337.6999999999998</v>
      </c>
      <c r="Y55" s="1"/>
      <c r="Z55" s="5">
        <f t="shared" si="35"/>
        <v>-0.77923333333333322</v>
      </c>
    </row>
    <row r="56" spans="1:26" s="24" customFormat="1" hidden="1" outlineLevel="2" x14ac:dyDescent="0.3">
      <c r="A56" s="27"/>
      <c r="B56" s="11" t="str">
        <f>CONCATENATE("          ", "6399", " - ", "DONATION-ON CAMPUS")</f>
        <v xml:space="preserve">          6399 - DONATION-ON CAMPUS</v>
      </c>
      <c r="C56" s="11"/>
      <c r="D56" s="6">
        <v>662.3</v>
      </c>
      <c r="E56" s="2"/>
      <c r="F56" s="7">
        <f t="shared" si="28"/>
        <v>1.5809406776060218E-2</v>
      </c>
      <c r="G56" s="2"/>
      <c r="H56" s="6">
        <v>3000</v>
      </c>
      <c r="I56" s="2"/>
      <c r="J56" s="7">
        <f t="shared" si="29"/>
        <v>9.9206349206349201E-2</v>
      </c>
      <c r="K56" s="2"/>
      <c r="L56" s="6">
        <f t="shared" si="30"/>
        <v>-2337.6999999999998</v>
      </c>
      <c r="M56" s="2"/>
      <c r="N56" s="7">
        <f t="shared" si="31"/>
        <v>-0.77923333333333322</v>
      </c>
      <c r="O56" s="11"/>
      <c r="P56" s="6">
        <v>662.3</v>
      </c>
      <c r="Q56" s="2"/>
      <c r="R56" s="7">
        <f t="shared" si="32"/>
        <v>1.5809406776060218E-2</v>
      </c>
      <c r="S56" s="2"/>
      <c r="T56" s="6">
        <v>3000</v>
      </c>
      <c r="U56" s="2"/>
      <c r="V56" s="7">
        <f t="shared" si="33"/>
        <v>9.9206349206349201E-2</v>
      </c>
      <c r="W56" s="2"/>
      <c r="X56" s="6">
        <f t="shared" si="34"/>
        <v>-2337.6999999999998</v>
      </c>
      <c r="Y56" s="2"/>
      <c r="Z56" s="7">
        <f t="shared" si="35"/>
        <v>-0.77923333333333322</v>
      </c>
    </row>
    <row r="57" spans="1:26" s="28" customFormat="1" outlineLevel="1" collapsed="1" x14ac:dyDescent="0.3">
      <c r="A57" s="29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SUM(OSRRefD22_7x_0)</f>
        <v>0</v>
      </c>
      <c r="E57" s="1"/>
      <c r="F57" s="5">
        <f t="shared" si="28"/>
        <v>0</v>
      </c>
      <c r="G57" s="1"/>
      <c r="H57" s="1">
        <f>SUM(OSRRefH22_7x_0)</f>
        <v>50</v>
      </c>
      <c r="I57" s="1"/>
      <c r="J57" s="5">
        <f t="shared" si="29"/>
        <v>1.6534391534391533E-3</v>
      </c>
      <c r="K57" s="1"/>
      <c r="L57" s="1">
        <f t="shared" si="30"/>
        <v>-50</v>
      </c>
      <c r="M57" s="1"/>
      <c r="N57" s="5">
        <f t="shared" si="31"/>
        <v>-1</v>
      </c>
      <c r="O57" s="14"/>
      <c r="P57" s="1">
        <f>SUM(OSRRefP22_7x_0)</f>
        <v>0</v>
      </c>
      <c r="Q57" s="1"/>
      <c r="R57" s="5">
        <f t="shared" si="32"/>
        <v>0</v>
      </c>
      <c r="S57" s="1"/>
      <c r="T57" s="1">
        <f>SUM(OSRRefT22_7x_0)</f>
        <v>100</v>
      </c>
      <c r="U57" s="1"/>
      <c r="V57" s="5">
        <f t="shared" si="33"/>
        <v>3.3068783068783067E-3</v>
      </c>
      <c r="W57" s="1"/>
      <c r="X57" s="1">
        <f t="shared" si="34"/>
        <v>-100</v>
      </c>
      <c r="Y57" s="1"/>
      <c r="Z57" s="5">
        <f t="shared" si="35"/>
        <v>-1</v>
      </c>
    </row>
    <row r="58" spans="1:26" s="24" customFormat="1" hidden="1" outlineLevel="2" x14ac:dyDescent="0.3">
      <c r="A58" s="27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28"/>
        <v>0</v>
      </c>
      <c r="G58" s="2"/>
      <c r="H58" s="6">
        <v>50</v>
      </c>
      <c r="I58" s="2"/>
      <c r="J58" s="7">
        <f t="shared" si="29"/>
        <v>1.6534391534391533E-3</v>
      </c>
      <c r="K58" s="2"/>
      <c r="L58" s="6">
        <f t="shared" si="30"/>
        <v>-50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100</v>
      </c>
      <c r="U58" s="2"/>
      <c r="V58" s="7">
        <f t="shared" si="33"/>
        <v>3.3068783068783067E-3</v>
      </c>
      <c r="W58" s="2"/>
      <c r="X58" s="6">
        <f t="shared" si="34"/>
        <v>-100</v>
      </c>
      <c r="Y58" s="2"/>
      <c r="Z58" s="7">
        <f t="shared" si="35"/>
        <v>-1</v>
      </c>
    </row>
    <row r="59" spans="1:26" s="28" customFormat="1" outlineLevel="1" collapsed="1" x14ac:dyDescent="0.3">
      <c r="A59" s="29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SUM(OSRRefD22_8x_0)</f>
        <v>1469.55</v>
      </c>
      <c r="E59" s="1"/>
      <c r="F59" s="5">
        <f t="shared" si="28"/>
        <v>3.5078836973817445E-2</v>
      </c>
      <c r="G59" s="1"/>
      <c r="H59" s="1">
        <f>SUM(OSRRefH22_8x_0)</f>
        <v>0</v>
      </c>
      <c r="I59" s="1"/>
      <c r="J59" s="5">
        <f t="shared" si="29"/>
        <v>0</v>
      </c>
      <c r="K59" s="1"/>
      <c r="L59" s="1">
        <f t="shared" si="30"/>
        <v>1469.55</v>
      </c>
      <c r="M59" s="1"/>
      <c r="N59" s="5">
        <f t="shared" si="31"/>
        <v>0</v>
      </c>
      <c r="O59" s="14"/>
      <c r="P59" s="1">
        <f>SUM(OSRRefP22_8x_0)</f>
        <v>1469.55</v>
      </c>
      <c r="Q59" s="1"/>
      <c r="R59" s="5">
        <f t="shared" si="32"/>
        <v>3.5078836973817445E-2</v>
      </c>
      <c r="S59" s="1"/>
      <c r="T59" s="1">
        <f>SUM(OSRRefT22_8x_0)</f>
        <v>1700</v>
      </c>
      <c r="U59" s="1"/>
      <c r="V59" s="5">
        <f t="shared" si="33"/>
        <v>5.6216931216931214E-2</v>
      </c>
      <c r="W59" s="1"/>
      <c r="X59" s="1">
        <f t="shared" si="34"/>
        <v>-230.45000000000005</v>
      </c>
      <c r="Y59" s="1"/>
      <c r="Z59" s="5">
        <f t="shared" si="35"/>
        <v>-0.13555882352941179</v>
      </c>
    </row>
    <row r="60" spans="1:26" s="24" customFormat="1" hidden="1" outlineLevel="2" x14ac:dyDescent="0.3">
      <c r="A60" s="27"/>
      <c r="B60" s="11" t="str">
        <f>CONCATENATE("          ", "6279", " - ", "GENERAL EXPENSE")</f>
        <v xml:space="preserve">          6279 - GENERAL EXPENSE</v>
      </c>
      <c r="C60" s="11"/>
      <c r="D60" s="6">
        <v>1469.55</v>
      </c>
      <c r="E60" s="2"/>
      <c r="F60" s="7">
        <f t="shared" si="28"/>
        <v>3.5078836973817445E-2</v>
      </c>
      <c r="G60" s="2"/>
      <c r="H60" s="6"/>
      <c r="I60" s="2"/>
      <c r="J60" s="7">
        <f t="shared" si="29"/>
        <v>0</v>
      </c>
      <c r="K60" s="2"/>
      <c r="L60" s="6">
        <f t="shared" si="30"/>
        <v>1469.55</v>
      </c>
      <c r="M60" s="2"/>
      <c r="N60" s="7">
        <f t="shared" si="31"/>
        <v>0</v>
      </c>
      <c r="O60" s="11"/>
      <c r="P60" s="6">
        <v>1469.55</v>
      </c>
      <c r="Q60" s="2"/>
      <c r="R60" s="7">
        <f t="shared" si="32"/>
        <v>3.5078836973817445E-2</v>
      </c>
      <c r="S60" s="2"/>
      <c r="T60" s="6">
        <v>1700</v>
      </c>
      <c r="U60" s="2"/>
      <c r="V60" s="7">
        <f t="shared" si="33"/>
        <v>5.6216931216931214E-2</v>
      </c>
      <c r="W60" s="2"/>
      <c r="X60" s="6">
        <f t="shared" si="34"/>
        <v>-230.45000000000005</v>
      </c>
      <c r="Y60" s="2"/>
      <c r="Z60" s="7">
        <f t="shared" si="35"/>
        <v>-0.13555882352941179</v>
      </c>
    </row>
    <row r="61" spans="1:26" s="28" customFormat="1" outlineLevel="1" collapsed="1" x14ac:dyDescent="0.3">
      <c r="A61" s="29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SUM(OSRRefD22_9x_0)</f>
        <v>5.21</v>
      </c>
      <c r="E61" s="1"/>
      <c r="F61" s="5">
        <f t="shared" si="28"/>
        <v>1.243651053952495E-4</v>
      </c>
      <c r="G61" s="1"/>
      <c r="H61" s="1">
        <f>SUM(OSRRefH22_9x_0)</f>
        <v>10</v>
      </c>
      <c r="I61" s="1"/>
      <c r="J61" s="5">
        <f t="shared" si="29"/>
        <v>3.3068783068783067E-4</v>
      </c>
      <c r="K61" s="1"/>
      <c r="L61" s="1">
        <f t="shared" si="30"/>
        <v>-4.79</v>
      </c>
      <c r="M61" s="1"/>
      <c r="N61" s="5">
        <f t="shared" si="31"/>
        <v>-0.47899999999999998</v>
      </c>
      <c r="O61" s="14"/>
      <c r="P61" s="1">
        <f>SUM(OSRRefP22_9x_0)</f>
        <v>10.43</v>
      </c>
      <c r="Q61" s="1"/>
      <c r="R61" s="5">
        <f t="shared" si="32"/>
        <v>2.4896891540738045E-4</v>
      </c>
      <c r="S61" s="1"/>
      <c r="T61" s="1">
        <f>SUM(OSRRefT22_9x_0)</f>
        <v>20</v>
      </c>
      <c r="U61" s="1"/>
      <c r="V61" s="5">
        <f t="shared" si="33"/>
        <v>6.6137566137566134E-4</v>
      </c>
      <c r="W61" s="1"/>
      <c r="X61" s="1">
        <f t="shared" si="34"/>
        <v>-9.57</v>
      </c>
      <c r="Y61" s="1"/>
      <c r="Z61" s="5">
        <f t="shared" si="35"/>
        <v>-0.47850000000000004</v>
      </c>
    </row>
    <row r="62" spans="1:26" s="24" customFormat="1" hidden="1" outlineLevel="2" x14ac:dyDescent="0.3">
      <c r="A62" s="27"/>
      <c r="B62" s="11" t="str">
        <f>CONCATENATE("          ", "6314", " - ", "LIABILITY INSURANCE")</f>
        <v xml:space="preserve">          6314 - LIABILITY INSURANCE</v>
      </c>
      <c r="C62" s="11"/>
      <c r="D62" s="6">
        <v>5.21</v>
      </c>
      <c r="E62" s="2"/>
      <c r="F62" s="7">
        <f t="shared" si="28"/>
        <v>1.243651053952495E-4</v>
      </c>
      <c r="G62" s="2"/>
      <c r="H62" s="6">
        <v>10</v>
      </c>
      <c r="I62" s="2"/>
      <c r="J62" s="7">
        <f t="shared" si="29"/>
        <v>3.3068783068783067E-4</v>
      </c>
      <c r="K62" s="2"/>
      <c r="L62" s="6">
        <f t="shared" si="30"/>
        <v>-4.79</v>
      </c>
      <c r="M62" s="2"/>
      <c r="N62" s="7">
        <f t="shared" si="31"/>
        <v>-0.47899999999999998</v>
      </c>
      <c r="O62" s="11"/>
      <c r="P62" s="6">
        <v>10.43</v>
      </c>
      <c r="Q62" s="2"/>
      <c r="R62" s="7">
        <f t="shared" si="32"/>
        <v>2.4896891540738045E-4</v>
      </c>
      <c r="S62" s="2"/>
      <c r="T62" s="6">
        <v>20</v>
      </c>
      <c r="U62" s="2"/>
      <c r="V62" s="7">
        <f t="shared" si="33"/>
        <v>6.6137566137566134E-4</v>
      </c>
      <c r="W62" s="2"/>
      <c r="X62" s="6">
        <f t="shared" si="34"/>
        <v>-9.57</v>
      </c>
      <c r="Y62" s="2"/>
      <c r="Z62" s="7">
        <f t="shared" si="35"/>
        <v>-0.47850000000000004</v>
      </c>
    </row>
    <row r="63" spans="1:26" s="28" customFormat="1" outlineLevel="1" collapsed="1" x14ac:dyDescent="0.3">
      <c r="A63" s="29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SUM(OSRRefD22_10x_0)</f>
        <v>3298.44</v>
      </c>
      <c r="E63" s="1"/>
      <c r="F63" s="5">
        <f t="shared" si="28"/>
        <v>7.8735285650653894E-2</v>
      </c>
      <c r="G63" s="1"/>
      <c r="H63" s="1">
        <f>SUM(OSRRefH22_10x_0)</f>
        <v>2419</v>
      </c>
      <c r="I63" s="1"/>
      <c r="J63" s="5">
        <f t="shared" si="29"/>
        <v>7.9993386243386241E-2</v>
      </c>
      <c r="K63" s="1"/>
      <c r="L63" s="1">
        <f t="shared" si="30"/>
        <v>879.44</v>
      </c>
      <c r="M63" s="1"/>
      <c r="N63" s="5">
        <f t="shared" si="31"/>
        <v>0.36355518809425386</v>
      </c>
      <c r="O63" s="14"/>
      <c r="P63" s="1">
        <f>SUM(OSRRefP22_10x_0)</f>
        <v>3298.44</v>
      </c>
      <c r="Q63" s="1"/>
      <c r="R63" s="5">
        <f t="shared" si="32"/>
        <v>7.8735285650653894E-2</v>
      </c>
      <c r="S63" s="1"/>
      <c r="T63" s="1">
        <f>SUM(OSRRefT22_10x_0)</f>
        <v>2419</v>
      </c>
      <c r="U63" s="1"/>
      <c r="V63" s="5">
        <f t="shared" si="33"/>
        <v>7.9993386243386241E-2</v>
      </c>
      <c r="W63" s="1"/>
      <c r="X63" s="1">
        <f t="shared" si="34"/>
        <v>879.44</v>
      </c>
      <c r="Y63" s="1"/>
      <c r="Z63" s="5">
        <f t="shared" si="35"/>
        <v>0.36355518809425386</v>
      </c>
    </row>
    <row r="64" spans="1:26" s="24" customFormat="1" hidden="1" outlineLevel="2" x14ac:dyDescent="0.3">
      <c r="A64" s="27"/>
      <c r="B64" s="11" t="str">
        <f>CONCATENATE("          ", "6387", " - ", "COMMISSION DUE HOUSING")</f>
        <v xml:space="preserve">          6387 - COMMISSION DUE HOUSING</v>
      </c>
      <c r="C64" s="11"/>
      <c r="D64" s="6">
        <v>3298.44</v>
      </c>
      <c r="E64" s="2"/>
      <c r="F64" s="7">
        <f t="shared" si="28"/>
        <v>7.8735285650653894E-2</v>
      </c>
      <c r="G64" s="2"/>
      <c r="H64" s="6">
        <v>2419</v>
      </c>
      <c r="I64" s="2"/>
      <c r="J64" s="7">
        <f t="shared" si="29"/>
        <v>7.9993386243386241E-2</v>
      </c>
      <c r="K64" s="2"/>
      <c r="L64" s="6">
        <f t="shared" si="30"/>
        <v>879.44</v>
      </c>
      <c r="M64" s="2"/>
      <c r="N64" s="7">
        <f t="shared" si="31"/>
        <v>0.36355518809425386</v>
      </c>
      <c r="O64" s="11"/>
      <c r="P64" s="6">
        <v>3298.44</v>
      </c>
      <c r="Q64" s="2"/>
      <c r="R64" s="7">
        <f t="shared" si="32"/>
        <v>7.8735285650653894E-2</v>
      </c>
      <c r="S64" s="2"/>
      <c r="T64" s="6">
        <v>2419</v>
      </c>
      <c r="U64" s="2"/>
      <c r="V64" s="7">
        <f t="shared" si="33"/>
        <v>7.9993386243386241E-2</v>
      </c>
      <c r="W64" s="2"/>
      <c r="X64" s="6">
        <f t="shared" si="34"/>
        <v>879.44</v>
      </c>
      <c r="Y64" s="2"/>
      <c r="Z64" s="7">
        <f t="shared" si="35"/>
        <v>0.36355518809425386</v>
      </c>
    </row>
    <row r="65" spans="1:26" s="28" customFormat="1" outlineLevel="1" collapsed="1" x14ac:dyDescent="0.3">
      <c r="A65" s="29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SUM(OSRRefD22_11x_0)</f>
        <v>0</v>
      </c>
      <c r="E65" s="1"/>
      <c r="F65" s="5">
        <f t="shared" si="28"/>
        <v>0</v>
      </c>
      <c r="G65" s="1"/>
      <c r="H65" s="1">
        <f>SUM(OSRRefH22_11x_0)</f>
        <v>100</v>
      </c>
      <c r="I65" s="1"/>
      <c r="J65" s="5">
        <f t="shared" si="29"/>
        <v>3.3068783068783067E-3</v>
      </c>
      <c r="K65" s="1"/>
      <c r="L65" s="1">
        <f t="shared" si="30"/>
        <v>-100</v>
      </c>
      <c r="M65" s="1"/>
      <c r="N65" s="5">
        <f t="shared" si="31"/>
        <v>-1</v>
      </c>
      <c r="O65" s="14"/>
      <c r="P65" s="1">
        <f>SUM(OSRRefP22_11x_0)</f>
        <v>0</v>
      </c>
      <c r="Q65" s="1"/>
      <c r="R65" s="5">
        <f t="shared" si="32"/>
        <v>0</v>
      </c>
      <c r="S65" s="1"/>
      <c r="T65" s="1">
        <f>SUM(OSRRefT22_11x_0)</f>
        <v>200</v>
      </c>
      <c r="U65" s="1"/>
      <c r="V65" s="5">
        <f t="shared" si="33"/>
        <v>6.6137566137566134E-3</v>
      </c>
      <c r="W65" s="1"/>
      <c r="X65" s="1">
        <f t="shared" si="34"/>
        <v>-200</v>
      </c>
      <c r="Y65" s="1"/>
      <c r="Z65" s="5">
        <f t="shared" si="35"/>
        <v>-1</v>
      </c>
    </row>
    <row r="66" spans="1:26" s="24" customFormat="1" hidden="1" outlineLevel="2" x14ac:dyDescent="0.3">
      <c r="A66" s="27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28"/>
        <v>0</v>
      </c>
      <c r="G66" s="2"/>
      <c r="H66" s="6"/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/>
      <c r="Q66" s="2"/>
      <c r="R66" s="7">
        <f t="shared" si="32"/>
        <v>0</v>
      </c>
      <c r="S66" s="2"/>
      <c r="T66" s="6">
        <v>0</v>
      </c>
      <c r="U66" s="2"/>
      <c r="V66" s="7">
        <f t="shared" si="33"/>
        <v>0</v>
      </c>
      <c r="W66" s="2"/>
      <c r="X66" s="6">
        <f t="shared" si="34"/>
        <v>0</v>
      </c>
      <c r="Y66" s="2"/>
      <c r="Z66" s="7">
        <f t="shared" si="35"/>
        <v>0</v>
      </c>
    </row>
    <row r="67" spans="1:26" s="24" customFormat="1" hidden="1" outlineLevel="2" x14ac:dyDescent="0.3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28"/>
        <v>0</v>
      </c>
      <c r="G67" s="2"/>
      <c r="H67" s="6">
        <v>100</v>
      </c>
      <c r="I67" s="2"/>
      <c r="J67" s="7">
        <f t="shared" si="29"/>
        <v>3.3068783068783067E-3</v>
      </c>
      <c r="K67" s="2"/>
      <c r="L67" s="6">
        <f t="shared" si="30"/>
        <v>-100</v>
      </c>
      <c r="M67" s="2"/>
      <c r="N67" s="7">
        <f t="shared" si="31"/>
        <v>-1</v>
      </c>
      <c r="O67" s="11"/>
      <c r="P67" s="6"/>
      <c r="Q67" s="2"/>
      <c r="R67" s="7">
        <f t="shared" si="32"/>
        <v>0</v>
      </c>
      <c r="S67" s="2"/>
      <c r="T67" s="6">
        <v>200</v>
      </c>
      <c r="U67" s="2"/>
      <c r="V67" s="7">
        <f t="shared" si="33"/>
        <v>6.6137566137566134E-3</v>
      </c>
      <c r="W67" s="2"/>
      <c r="X67" s="6">
        <f t="shared" si="34"/>
        <v>-200</v>
      </c>
      <c r="Y67" s="2"/>
      <c r="Z67" s="7">
        <f t="shared" si="35"/>
        <v>-1</v>
      </c>
    </row>
    <row r="68" spans="1:26" s="28" customFormat="1" outlineLevel="1" collapsed="1" x14ac:dyDescent="0.3">
      <c r="A68" s="29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SUM(OSRRefD22_12x_0)</f>
        <v>2142.9</v>
      </c>
      <c r="E68" s="1"/>
      <c r="F68" s="5">
        <f t="shared" ref="F68:F72" si="36">IF(D$12=0,0,D68/D$12)</f>
        <v>5.1152012351531696E-2</v>
      </c>
      <c r="G68" s="1"/>
      <c r="H68" s="1">
        <f>SUM(OSRRefH22_12x_0)</f>
        <v>6972</v>
      </c>
      <c r="I68" s="1"/>
      <c r="J68" s="5">
        <f t="shared" ref="J68:J72" si="37">IF(H$12=0,0,H68/H$12)</f>
        <v>0.23055555555555557</v>
      </c>
      <c r="K68" s="1"/>
      <c r="L68" s="1">
        <f t="shared" ref="L68:L72" si="38">+D68-H68</f>
        <v>-4829.1000000000004</v>
      </c>
      <c r="M68" s="1"/>
      <c r="N68" s="5">
        <f t="shared" ref="N68:N72" si="39">IF(H68=0,0,L68/H68)</f>
        <v>-0.69264199655765923</v>
      </c>
      <c r="O68" s="14"/>
      <c r="P68" s="1">
        <f>SUM(OSRRefP22_12x_0)</f>
        <v>4562.54</v>
      </c>
      <c r="Q68" s="1"/>
      <c r="R68" s="5">
        <f t="shared" ref="R68:R72" si="40">IF(P$12=0,0,P68/P$12)</f>
        <v>0.10890993627064138</v>
      </c>
      <c r="S68" s="1"/>
      <c r="T68" s="1">
        <f>SUM(OSRRefT22_12x_0)</f>
        <v>12344</v>
      </c>
      <c r="U68" s="1"/>
      <c r="V68" s="5">
        <f t="shared" ref="V68:V72" si="41">IF(T$12=0,0,T68/T$12)</f>
        <v>0.40820105820105818</v>
      </c>
      <c r="W68" s="1"/>
      <c r="X68" s="1">
        <f t="shared" ref="X68:X72" si="42">+P68-T68</f>
        <v>-7781.46</v>
      </c>
      <c r="Y68" s="1"/>
      <c r="Z68" s="5">
        <f t="shared" ref="Z68:Z72" si="43">IF(T68=0,0,X68/T68)</f>
        <v>-0.63038399222294228</v>
      </c>
    </row>
    <row r="69" spans="1:26" s="24" customFormat="1" hidden="1" outlineLevel="2" x14ac:dyDescent="0.3">
      <c r="A69" s="27"/>
      <c r="B69" s="11" t="str">
        <f>CONCATENATE("          ", "6282", " - ", "JANITORIAL/EXTERMINATOR EXPENS")</f>
        <v xml:space="preserve">          6282 - JANITORIAL/EXTERMINATOR EXPENS</v>
      </c>
      <c r="C69" s="11"/>
      <c r="D69" s="6"/>
      <c r="E69" s="2"/>
      <c r="F69" s="7">
        <f t="shared" si="36"/>
        <v>0</v>
      </c>
      <c r="G69" s="2"/>
      <c r="H69" s="6">
        <v>670</v>
      </c>
      <c r="I69" s="2"/>
      <c r="J69" s="7">
        <f t="shared" si="37"/>
        <v>2.2156084656084655E-2</v>
      </c>
      <c r="K69" s="2"/>
      <c r="L69" s="6">
        <f t="shared" si="38"/>
        <v>-670</v>
      </c>
      <c r="M69" s="2"/>
      <c r="N69" s="7">
        <f t="shared" si="39"/>
        <v>-1</v>
      </c>
      <c r="O69" s="11"/>
      <c r="P69" s="6">
        <v>669.64</v>
      </c>
      <c r="Q69" s="2"/>
      <c r="R69" s="7">
        <f t="shared" si="40"/>
        <v>1.5984615964851224E-2</v>
      </c>
      <c r="S69" s="2"/>
      <c r="T69" s="6">
        <v>1340</v>
      </c>
      <c r="U69" s="2"/>
      <c r="V69" s="7">
        <f t="shared" si="41"/>
        <v>4.431216931216931E-2</v>
      </c>
      <c r="W69" s="2"/>
      <c r="X69" s="6">
        <f t="shared" si="42"/>
        <v>-670.36</v>
      </c>
      <c r="Y69" s="2"/>
      <c r="Z69" s="7">
        <f t="shared" si="43"/>
        <v>-0.50026865671641796</v>
      </c>
    </row>
    <row r="70" spans="1:26" s="24" customFormat="1" hidden="1" outlineLevel="2" x14ac:dyDescent="0.3">
      <c r="A70" s="27"/>
      <c r="B70" s="11" t="str">
        <f>CONCATENATE("          ", "6284", " - ", "TRASH REMOVAL EXPENSE")</f>
        <v xml:space="preserve">          6284 - TRASH REMOVAL EXPENSE</v>
      </c>
      <c r="C70" s="11"/>
      <c r="D70" s="6"/>
      <c r="E70" s="2"/>
      <c r="F70" s="7">
        <f t="shared" si="36"/>
        <v>0</v>
      </c>
      <c r="G70" s="2"/>
      <c r="H70" s="6">
        <v>50</v>
      </c>
      <c r="I70" s="2"/>
      <c r="J70" s="7">
        <f t="shared" si="37"/>
        <v>1.6534391534391533E-3</v>
      </c>
      <c r="K70" s="2"/>
      <c r="L70" s="6">
        <f t="shared" si="38"/>
        <v>-50</v>
      </c>
      <c r="M70" s="2"/>
      <c r="N70" s="7">
        <f t="shared" si="39"/>
        <v>-1</v>
      </c>
      <c r="O70" s="11"/>
      <c r="P70" s="6"/>
      <c r="Q70" s="2"/>
      <c r="R70" s="7">
        <f t="shared" si="40"/>
        <v>0</v>
      </c>
      <c r="S70" s="2"/>
      <c r="T70" s="6">
        <v>100</v>
      </c>
      <c r="U70" s="2"/>
      <c r="V70" s="7">
        <f t="shared" si="41"/>
        <v>3.3068783068783067E-3</v>
      </c>
      <c r="W70" s="2"/>
      <c r="X70" s="6">
        <f t="shared" si="42"/>
        <v>-100</v>
      </c>
      <c r="Y70" s="2"/>
      <c r="Z70" s="7">
        <f t="shared" si="43"/>
        <v>-1</v>
      </c>
    </row>
    <row r="71" spans="1:26" s="24" customFormat="1" hidden="1" outlineLevel="2" x14ac:dyDescent="0.3">
      <c r="A71" s="27"/>
      <c r="B71" s="11" t="str">
        <f>CONCATENATE("          ", "6285", " - ", "JANITORIAL SERVICES")</f>
        <v xml:space="preserve">          6285 - JANITORIAL SERVICES</v>
      </c>
      <c r="C71" s="11"/>
      <c r="D71" s="6">
        <v>2142.9</v>
      </c>
      <c r="E71" s="2"/>
      <c r="F71" s="7">
        <f t="shared" si="36"/>
        <v>5.1152012351531696E-2</v>
      </c>
      <c r="G71" s="2"/>
      <c r="H71" s="6">
        <v>4652</v>
      </c>
      <c r="I71" s="2"/>
      <c r="J71" s="7">
        <f t="shared" si="37"/>
        <v>0.15383597883597883</v>
      </c>
      <c r="K71" s="2"/>
      <c r="L71" s="6">
        <f t="shared" si="38"/>
        <v>-2509.1</v>
      </c>
      <c r="M71" s="2"/>
      <c r="N71" s="7">
        <f t="shared" si="39"/>
        <v>-0.539359415305245</v>
      </c>
      <c r="O71" s="11"/>
      <c r="P71" s="6">
        <v>3892.9</v>
      </c>
      <c r="Q71" s="2"/>
      <c r="R71" s="7">
        <f t="shared" si="40"/>
        <v>9.2925320305790163E-2</v>
      </c>
      <c r="S71" s="2"/>
      <c r="T71" s="6">
        <v>9304</v>
      </c>
      <c r="U71" s="2"/>
      <c r="V71" s="7">
        <f t="shared" si="41"/>
        <v>0.30767195767195765</v>
      </c>
      <c r="W71" s="2"/>
      <c r="X71" s="6">
        <f t="shared" si="42"/>
        <v>-5411.1</v>
      </c>
      <c r="Y71" s="2"/>
      <c r="Z71" s="7">
        <f t="shared" si="43"/>
        <v>-0.58158856405846948</v>
      </c>
    </row>
    <row r="72" spans="1:26" s="24" customFormat="1" hidden="1" outlineLevel="2" x14ac:dyDescent="0.3">
      <c r="A72" s="27"/>
      <c r="B72" s="11" t="str">
        <f>CONCATENATE("          ", "6286", " - ", "LAUNDRY EXPENSE")</f>
        <v xml:space="preserve">          6286 - LAUNDRY EXPENSE</v>
      </c>
      <c r="C72" s="11"/>
      <c r="D72" s="6"/>
      <c r="E72" s="2"/>
      <c r="F72" s="7">
        <f t="shared" si="36"/>
        <v>0</v>
      </c>
      <c r="G72" s="2"/>
      <c r="H72" s="6">
        <v>1600</v>
      </c>
      <c r="I72" s="2"/>
      <c r="J72" s="7">
        <f t="shared" si="37"/>
        <v>5.2910052910052907E-2</v>
      </c>
      <c r="K72" s="2"/>
      <c r="L72" s="6">
        <f t="shared" si="38"/>
        <v>-1600</v>
      </c>
      <c r="M72" s="2"/>
      <c r="N72" s="7">
        <f t="shared" si="39"/>
        <v>-1</v>
      </c>
      <c r="O72" s="11"/>
      <c r="P72" s="6"/>
      <c r="Q72" s="2"/>
      <c r="R72" s="7">
        <f t="shared" si="40"/>
        <v>0</v>
      </c>
      <c r="S72" s="2"/>
      <c r="T72" s="6">
        <v>1600</v>
      </c>
      <c r="U72" s="2"/>
      <c r="V72" s="7">
        <f t="shared" si="41"/>
        <v>5.2910052910052907E-2</v>
      </c>
      <c r="W72" s="2"/>
      <c r="X72" s="6">
        <f t="shared" si="42"/>
        <v>-1600</v>
      </c>
      <c r="Y72" s="2"/>
      <c r="Z72" s="7">
        <f t="shared" si="43"/>
        <v>-1</v>
      </c>
    </row>
    <row r="73" spans="1:26" s="28" customFormat="1" outlineLevel="1" collapsed="1" x14ac:dyDescent="0.3">
      <c r="A73" s="29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SUM(OSRRefD22_13x_0)</f>
        <v>9644.1500000000015</v>
      </c>
      <c r="E73" s="1"/>
      <c r="F73" s="5">
        <f t="shared" ref="F73:F79" si="44">IF(D$12=0,0,D73/D$12)</f>
        <v>0.23021031308974962</v>
      </c>
      <c r="G73" s="1"/>
      <c r="H73" s="1">
        <f>SUM(OSRRefH22_13x_0)</f>
        <v>9446</v>
      </c>
      <c r="I73" s="1"/>
      <c r="J73" s="5">
        <f t="shared" ref="J73:J79" si="45">IF(H$12=0,0,H73/H$12)</f>
        <v>0.31236772486772485</v>
      </c>
      <c r="K73" s="1"/>
      <c r="L73" s="1">
        <f t="shared" ref="L73:L79" si="46">+D73-H73</f>
        <v>198.15000000000146</v>
      </c>
      <c r="M73" s="1"/>
      <c r="N73" s="5">
        <f t="shared" ref="N73:N79" si="47">IF(H73=0,0,L73/H73)</f>
        <v>2.0977133178064943E-2</v>
      </c>
      <c r="O73" s="14"/>
      <c r="P73" s="1">
        <f>SUM(OSRRefP22_13x_0)</f>
        <v>9648.6500000000015</v>
      </c>
      <c r="Q73" s="1"/>
      <c r="R73" s="5">
        <f t="shared" ref="R73:R79" si="48">IF(P$12=0,0,P73/P$12)</f>
        <v>0.2303177301673463</v>
      </c>
      <c r="S73" s="1"/>
      <c r="T73" s="1">
        <f>SUM(OSRRefT22_13x_0)</f>
        <v>15892</v>
      </c>
      <c r="U73" s="1"/>
      <c r="V73" s="5">
        <f t="shared" ref="V73:V79" si="49">IF(T$12=0,0,T73/T$12)</f>
        <v>0.52552910052910051</v>
      </c>
      <c r="W73" s="1"/>
      <c r="X73" s="1">
        <f t="shared" ref="X73:X79" si="50">+P73-T73</f>
        <v>-6243.3499999999985</v>
      </c>
      <c r="Y73" s="1"/>
      <c r="Z73" s="5">
        <f t="shared" ref="Z73:Z79" si="51">IF(T73=0,0,X73/T73)</f>
        <v>-0.392861188019129</v>
      </c>
    </row>
    <row r="74" spans="1:26" s="24" customFormat="1" hidden="1" outlineLevel="2" x14ac:dyDescent="0.3">
      <c r="A74" s="27"/>
      <c r="B74" s="11" t="str">
        <f>CONCATENATE("          ", "6237", " - ", "JANITORIAL SUPPLIES")</f>
        <v xml:space="preserve">          6237 - JANITORIAL SUPPLIES</v>
      </c>
      <c r="C74" s="11"/>
      <c r="D74" s="6">
        <v>1526.8</v>
      </c>
      <c r="E74" s="2"/>
      <c r="F74" s="7">
        <f t="shared" si="44"/>
        <v>3.6445420905463898E-2</v>
      </c>
      <c r="G74" s="2"/>
      <c r="H74" s="6">
        <v>4000</v>
      </c>
      <c r="I74" s="2"/>
      <c r="J74" s="7">
        <f t="shared" si="45"/>
        <v>0.13227513227513227</v>
      </c>
      <c r="K74" s="2"/>
      <c r="L74" s="6">
        <f t="shared" si="46"/>
        <v>-2473.1999999999998</v>
      </c>
      <c r="M74" s="2"/>
      <c r="N74" s="7">
        <f t="shared" si="47"/>
        <v>-0.61829999999999996</v>
      </c>
      <c r="O74" s="11"/>
      <c r="P74" s="6">
        <v>1526.8</v>
      </c>
      <c r="Q74" s="2"/>
      <c r="R74" s="7">
        <f t="shared" si="48"/>
        <v>3.6445420905463898E-2</v>
      </c>
      <c r="S74" s="2"/>
      <c r="T74" s="6">
        <v>7000</v>
      </c>
      <c r="U74" s="2"/>
      <c r="V74" s="7">
        <f t="shared" si="49"/>
        <v>0.23148148148148148</v>
      </c>
      <c r="W74" s="2"/>
      <c r="X74" s="6">
        <f t="shared" si="50"/>
        <v>-5473.2</v>
      </c>
      <c r="Y74" s="2"/>
      <c r="Z74" s="7">
        <f t="shared" si="51"/>
        <v>-0.7818857142857143</v>
      </c>
    </row>
    <row r="75" spans="1:26" s="24" customFormat="1" hidden="1" outlineLevel="2" x14ac:dyDescent="0.3">
      <c r="A75" s="27"/>
      <c r="B75" s="11" t="str">
        <f>CONCATENATE("          ", "6239", " - ", "KITCHEN SUPPLIES")</f>
        <v xml:space="preserve">          6239 - KITCHEN SUPPLIES</v>
      </c>
      <c r="C75" s="11"/>
      <c r="D75" s="6">
        <v>1433.83</v>
      </c>
      <c r="E75" s="2"/>
      <c r="F75" s="7">
        <f t="shared" si="44"/>
        <v>3.4226184082316806E-2</v>
      </c>
      <c r="G75" s="2"/>
      <c r="H75" s="6">
        <v>3000</v>
      </c>
      <c r="I75" s="2"/>
      <c r="J75" s="7">
        <f t="shared" si="45"/>
        <v>9.9206349206349201E-2</v>
      </c>
      <c r="K75" s="2"/>
      <c r="L75" s="6">
        <f t="shared" si="46"/>
        <v>-1566.17</v>
      </c>
      <c r="M75" s="2"/>
      <c r="N75" s="7">
        <f t="shared" si="47"/>
        <v>-0.52205666666666672</v>
      </c>
      <c r="O75" s="11"/>
      <c r="P75" s="6">
        <v>1433.83</v>
      </c>
      <c r="Q75" s="2"/>
      <c r="R75" s="7">
        <f t="shared" si="48"/>
        <v>3.4226184082316806E-2</v>
      </c>
      <c r="S75" s="2"/>
      <c r="T75" s="6">
        <v>6000</v>
      </c>
      <c r="U75" s="2"/>
      <c r="V75" s="7">
        <f t="shared" si="49"/>
        <v>0.1984126984126984</v>
      </c>
      <c r="W75" s="2"/>
      <c r="X75" s="6">
        <f t="shared" si="50"/>
        <v>-4566.17</v>
      </c>
      <c r="Y75" s="2"/>
      <c r="Z75" s="7">
        <f t="shared" si="51"/>
        <v>-0.76102833333333331</v>
      </c>
    </row>
    <row r="76" spans="1:26" s="24" customFormat="1" hidden="1" outlineLevel="2" x14ac:dyDescent="0.3">
      <c r="A76" s="27"/>
      <c r="B76" s="11" t="str">
        <f>CONCATENATE("          ", "6241", " - ", "OFFICE EXPENSE")</f>
        <v xml:space="preserve">          6241 - OFFICE EXPENSE</v>
      </c>
      <c r="C76" s="11"/>
      <c r="D76" s="6">
        <v>1739.75</v>
      </c>
      <c r="E76" s="2"/>
      <c r="F76" s="7">
        <f t="shared" si="44"/>
        <v>4.1528635721954955E-2</v>
      </c>
      <c r="G76" s="2"/>
      <c r="H76" s="6">
        <v>125</v>
      </c>
      <c r="I76" s="2"/>
      <c r="J76" s="7">
        <f t="shared" si="45"/>
        <v>4.1335978835978834E-3</v>
      </c>
      <c r="K76" s="2"/>
      <c r="L76" s="6">
        <f t="shared" si="46"/>
        <v>1614.75</v>
      </c>
      <c r="M76" s="2"/>
      <c r="N76" s="7">
        <f t="shared" si="47"/>
        <v>12.917999999999999</v>
      </c>
      <c r="O76" s="11"/>
      <c r="P76" s="6">
        <v>1744.25</v>
      </c>
      <c r="Q76" s="2"/>
      <c r="R76" s="7">
        <f t="shared" si="48"/>
        <v>4.1636052799551619E-2</v>
      </c>
      <c r="S76" s="2"/>
      <c r="T76" s="6">
        <v>250</v>
      </c>
      <c r="U76" s="2"/>
      <c r="V76" s="7">
        <f t="shared" si="49"/>
        <v>8.2671957671957667E-3</v>
      </c>
      <c r="W76" s="2"/>
      <c r="X76" s="6">
        <f t="shared" si="50"/>
        <v>1494.25</v>
      </c>
      <c r="Y76" s="2"/>
      <c r="Z76" s="7">
        <f t="shared" si="51"/>
        <v>5.9770000000000003</v>
      </c>
    </row>
    <row r="77" spans="1:26" s="24" customFormat="1" hidden="1" outlineLevel="2" x14ac:dyDescent="0.3">
      <c r="A77" s="27"/>
      <c r="B77" s="11" t="str">
        <f>CONCATENATE("          ", "6243", " - ", "PAPER SUPPLIES")</f>
        <v xml:space="preserve">          6243 - PAPER SUPPLIES</v>
      </c>
      <c r="C77" s="11"/>
      <c r="D77" s="6">
        <v>4943.7700000000004</v>
      </c>
      <c r="E77" s="2"/>
      <c r="F77" s="7">
        <f t="shared" si="44"/>
        <v>0.11801007238001394</v>
      </c>
      <c r="G77" s="2"/>
      <c r="H77" s="6">
        <v>2000</v>
      </c>
      <c r="I77" s="2"/>
      <c r="J77" s="7">
        <f t="shared" si="45"/>
        <v>6.6137566137566134E-2</v>
      </c>
      <c r="K77" s="2"/>
      <c r="L77" s="6">
        <f t="shared" si="46"/>
        <v>2943.7700000000004</v>
      </c>
      <c r="M77" s="2"/>
      <c r="N77" s="7">
        <f t="shared" si="47"/>
        <v>1.4718850000000001</v>
      </c>
      <c r="O77" s="11"/>
      <c r="P77" s="6">
        <v>4943.7700000000004</v>
      </c>
      <c r="Q77" s="2"/>
      <c r="R77" s="7">
        <f t="shared" si="48"/>
        <v>0.11801007238001394</v>
      </c>
      <c r="S77" s="2"/>
      <c r="T77" s="6">
        <v>2000</v>
      </c>
      <c r="U77" s="2"/>
      <c r="V77" s="7">
        <f t="shared" si="49"/>
        <v>6.6137566137566134E-2</v>
      </c>
      <c r="W77" s="2"/>
      <c r="X77" s="6">
        <f t="shared" si="50"/>
        <v>2943.7700000000004</v>
      </c>
      <c r="Y77" s="2"/>
      <c r="Z77" s="7">
        <f t="shared" si="51"/>
        <v>1.4718850000000001</v>
      </c>
    </row>
    <row r="78" spans="1:26" s="24" customFormat="1" hidden="1" outlineLevel="2" x14ac:dyDescent="0.3">
      <c r="A78" s="27"/>
      <c r="B78" s="11" t="str">
        <f>CONCATENATE("          ", "6244", " - ", "SAFETY SUPPLY EXPENSE")</f>
        <v xml:space="preserve">          6244 - SAFETY SUPPLY EXPENSE</v>
      </c>
      <c r="C78" s="11"/>
      <c r="D78" s="6"/>
      <c r="E78" s="2"/>
      <c r="F78" s="7">
        <f t="shared" si="44"/>
        <v>0</v>
      </c>
      <c r="G78" s="2"/>
      <c r="H78" s="6">
        <v>125</v>
      </c>
      <c r="I78" s="2"/>
      <c r="J78" s="7">
        <f t="shared" si="45"/>
        <v>4.1335978835978834E-3</v>
      </c>
      <c r="K78" s="2"/>
      <c r="L78" s="6">
        <f t="shared" si="46"/>
        <v>-125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250</v>
      </c>
      <c r="U78" s="2"/>
      <c r="V78" s="7">
        <f t="shared" si="49"/>
        <v>8.2671957671957667E-3</v>
      </c>
      <c r="W78" s="2"/>
      <c r="X78" s="6">
        <f t="shared" si="50"/>
        <v>-250</v>
      </c>
      <c r="Y78" s="2"/>
      <c r="Z78" s="7">
        <f t="shared" si="51"/>
        <v>-1</v>
      </c>
    </row>
    <row r="79" spans="1:26" s="24" customFormat="1" hidden="1" outlineLevel="2" x14ac:dyDescent="0.3">
      <c r="A79" s="27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44"/>
        <v>0</v>
      </c>
      <c r="G79" s="2"/>
      <c r="H79" s="6">
        <v>196</v>
      </c>
      <c r="I79" s="2"/>
      <c r="J79" s="7">
        <f t="shared" si="45"/>
        <v>6.4814814814814813E-3</v>
      </c>
      <c r="K79" s="2"/>
      <c r="L79" s="6">
        <f t="shared" si="46"/>
        <v>-196</v>
      </c>
      <c r="M79" s="2"/>
      <c r="N79" s="7">
        <f t="shared" si="47"/>
        <v>-1</v>
      </c>
      <c r="O79" s="11"/>
      <c r="P79" s="6"/>
      <c r="Q79" s="2"/>
      <c r="R79" s="7">
        <f t="shared" si="48"/>
        <v>0</v>
      </c>
      <c r="S79" s="2"/>
      <c r="T79" s="6">
        <v>392</v>
      </c>
      <c r="U79" s="2"/>
      <c r="V79" s="7">
        <f t="shared" si="49"/>
        <v>1.2962962962962963E-2</v>
      </c>
      <c r="W79" s="2"/>
      <c r="X79" s="6">
        <f t="shared" si="50"/>
        <v>-392</v>
      </c>
      <c r="Y79" s="2"/>
      <c r="Z79" s="7">
        <f t="shared" si="51"/>
        <v>-1</v>
      </c>
    </row>
    <row r="80" spans="1:26" s="28" customFormat="1" outlineLevel="1" collapsed="1" x14ac:dyDescent="0.3">
      <c r="A80" s="29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SUM(OSRRefD22_14x_0)</f>
        <v>75</v>
      </c>
      <c r="E80" s="1"/>
      <c r="F80" s="5">
        <f t="shared" ref="F80:F83" si="52">IF(D$12=0,0,D80/D$12)</f>
        <v>1.7902846266110771E-3</v>
      </c>
      <c r="G80" s="1"/>
      <c r="H80" s="1">
        <f>SUM(OSRRefH22_14x_0)</f>
        <v>125</v>
      </c>
      <c r="I80" s="1"/>
      <c r="J80" s="5">
        <f t="shared" ref="J80:J83" si="53">IF(H$12=0,0,H80/H$12)</f>
        <v>4.1335978835978834E-3</v>
      </c>
      <c r="K80" s="1"/>
      <c r="L80" s="1">
        <f t="shared" ref="L80:L83" si="54">+D80-H80</f>
        <v>-50</v>
      </c>
      <c r="M80" s="1"/>
      <c r="N80" s="5">
        <f t="shared" ref="N80:N83" si="55">IF(H80=0,0,L80/H80)</f>
        <v>-0.4</v>
      </c>
      <c r="O80" s="14"/>
      <c r="P80" s="1">
        <f>SUM(OSRRefP22_14x_0)</f>
        <v>135</v>
      </c>
      <c r="Q80" s="1"/>
      <c r="R80" s="5">
        <f t="shared" ref="R80:R83" si="56">IF(P$12=0,0,P80/P$12)</f>
        <v>3.2225123278999388E-3</v>
      </c>
      <c r="S80" s="1"/>
      <c r="T80" s="1">
        <f>SUM(OSRRefT22_14x_0)</f>
        <v>250</v>
      </c>
      <c r="U80" s="1"/>
      <c r="V80" s="5">
        <f t="shared" ref="V80:V83" si="57">IF(T$12=0,0,T80/T$12)</f>
        <v>8.2671957671957667E-3</v>
      </c>
      <c r="W80" s="1"/>
      <c r="X80" s="1">
        <f t="shared" ref="X80:X83" si="58">+P80-T80</f>
        <v>-115</v>
      </c>
      <c r="Y80" s="1"/>
      <c r="Z80" s="5">
        <f t="shared" ref="Z80:Z83" si="59">IF(T80=0,0,X80/T80)</f>
        <v>-0.46</v>
      </c>
    </row>
    <row r="81" spans="1:26" s="24" customFormat="1" hidden="1" outlineLevel="2" x14ac:dyDescent="0.3">
      <c r="A81" s="27"/>
      <c r="B81" s="11" t="str">
        <f>CONCATENATE("          ", "6309", " - ", "TELEPHONE")</f>
        <v xml:space="preserve">          6309 - TELEPHONE</v>
      </c>
      <c r="C81" s="11"/>
      <c r="D81" s="6">
        <v>75</v>
      </c>
      <c r="E81" s="2"/>
      <c r="F81" s="7">
        <f t="shared" si="52"/>
        <v>1.7902846266110771E-3</v>
      </c>
      <c r="G81" s="2"/>
      <c r="H81" s="6">
        <v>125</v>
      </c>
      <c r="I81" s="2"/>
      <c r="J81" s="7">
        <f t="shared" si="53"/>
        <v>4.1335978835978834E-3</v>
      </c>
      <c r="K81" s="2"/>
      <c r="L81" s="6">
        <f t="shared" si="54"/>
        <v>-50</v>
      </c>
      <c r="M81" s="2"/>
      <c r="N81" s="7">
        <f t="shared" si="55"/>
        <v>-0.4</v>
      </c>
      <c r="O81" s="11"/>
      <c r="P81" s="6">
        <v>135</v>
      </c>
      <c r="Q81" s="2"/>
      <c r="R81" s="7">
        <f t="shared" si="56"/>
        <v>3.2225123278999388E-3</v>
      </c>
      <c r="S81" s="2"/>
      <c r="T81" s="6">
        <v>250</v>
      </c>
      <c r="U81" s="2"/>
      <c r="V81" s="7">
        <f t="shared" si="57"/>
        <v>8.2671957671957667E-3</v>
      </c>
      <c r="W81" s="2"/>
      <c r="X81" s="6">
        <f t="shared" si="58"/>
        <v>-115</v>
      </c>
      <c r="Y81" s="2"/>
      <c r="Z81" s="7">
        <f t="shared" si="59"/>
        <v>-0.46</v>
      </c>
    </row>
    <row r="82" spans="1:26" s="28" customFormat="1" outlineLevel="1" collapsed="1" x14ac:dyDescent="0.3">
      <c r="A82" s="29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SUM(OSRRefD22_15x_0)</f>
        <v>0</v>
      </c>
      <c r="E82" s="1"/>
      <c r="F82" s="5">
        <f t="shared" si="52"/>
        <v>0</v>
      </c>
      <c r="G82" s="1"/>
      <c r="H82" s="1">
        <f>SUM(OSRRefH22_15x_0)</f>
        <v>165</v>
      </c>
      <c r="I82" s="1"/>
      <c r="J82" s="5">
        <f t="shared" si="53"/>
        <v>5.456349206349206E-3</v>
      </c>
      <c r="K82" s="1"/>
      <c r="L82" s="1">
        <f t="shared" si="54"/>
        <v>-165</v>
      </c>
      <c r="M82" s="1"/>
      <c r="N82" s="5">
        <f t="shared" si="55"/>
        <v>-1</v>
      </c>
      <c r="O82" s="14"/>
      <c r="P82" s="1">
        <f>SUM(OSRRefP22_15x_0)</f>
        <v>0</v>
      </c>
      <c r="Q82" s="1"/>
      <c r="R82" s="5">
        <f t="shared" si="56"/>
        <v>0</v>
      </c>
      <c r="S82" s="1"/>
      <c r="T82" s="1">
        <f>SUM(OSRRefT22_15x_0)</f>
        <v>330</v>
      </c>
      <c r="U82" s="1"/>
      <c r="V82" s="5">
        <f t="shared" si="57"/>
        <v>1.0912698412698412E-2</v>
      </c>
      <c r="W82" s="1"/>
      <c r="X82" s="1">
        <f t="shared" si="58"/>
        <v>-330</v>
      </c>
      <c r="Y82" s="1"/>
      <c r="Z82" s="5">
        <f t="shared" si="59"/>
        <v>-1</v>
      </c>
    </row>
    <row r="83" spans="1:26" s="24" customFormat="1" hidden="1" outlineLevel="2" x14ac:dyDescent="0.3">
      <c r="A83" s="27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52"/>
        <v>0</v>
      </c>
      <c r="G83" s="2"/>
      <c r="H83" s="6">
        <v>165</v>
      </c>
      <c r="I83" s="2"/>
      <c r="J83" s="7">
        <f t="shared" si="53"/>
        <v>5.456349206349206E-3</v>
      </c>
      <c r="K83" s="2"/>
      <c r="L83" s="6">
        <f t="shared" si="54"/>
        <v>-165</v>
      </c>
      <c r="M83" s="2"/>
      <c r="N83" s="7">
        <f t="shared" si="55"/>
        <v>-1</v>
      </c>
      <c r="O83" s="11"/>
      <c r="P83" s="6"/>
      <c r="Q83" s="2"/>
      <c r="R83" s="7">
        <f t="shared" si="56"/>
        <v>0</v>
      </c>
      <c r="S83" s="2"/>
      <c r="T83" s="6">
        <v>330</v>
      </c>
      <c r="U83" s="2"/>
      <c r="V83" s="7">
        <f t="shared" si="57"/>
        <v>1.0912698412698412E-2</v>
      </c>
      <c r="W83" s="2"/>
      <c r="X83" s="6">
        <f t="shared" si="58"/>
        <v>-330</v>
      </c>
      <c r="Y83" s="2"/>
      <c r="Z83" s="7">
        <f t="shared" si="59"/>
        <v>-1</v>
      </c>
    </row>
    <row r="84" spans="1:26" s="53" customFormat="1" x14ac:dyDescent="0.3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3">
      <c r="A85" s="10"/>
      <c r="B85" s="25" t="s">
        <v>293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3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3">
      <c r="A87" s="10"/>
      <c r="B87" s="26" t="s">
        <v>277</v>
      </c>
      <c r="C87" s="26"/>
      <c r="D87" s="21">
        <f>+D22-D24+D85</f>
        <v>-64516.12000000001</v>
      </c>
      <c r="E87" s="13"/>
      <c r="F87" s="20">
        <f>IF(D$12=0,0,D87/D$12)</f>
        <v>-1.5400295707279397</v>
      </c>
      <c r="G87" s="13"/>
      <c r="H87" s="21">
        <f>+H22-H24+H85</f>
        <v>-89580.990496923114</v>
      </c>
      <c r="I87" s="13"/>
      <c r="J87" s="20">
        <f>IF(H$12=0,0,H87/H$12)</f>
        <v>-2.9623343418294681</v>
      </c>
      <c r="K87" s="16"/>
      <c r="L87" s="21">
        <f>+D87-H87</f>
        <v>25064.870496923104</v>
      </c>
      <c r="M87" s="16"/>
      <c r="N87" s="20">
        <f>IF(H87=0,0,L87/H87)</f>
        <v>-0.27980122074877056</v>
      </c>
      <c r="O87" s="25"/>
      <c r="P87" s="21">
        <f>+P22-P24+P85</f>
        <v>-105280.84999999998</v>
      </c>
      <c r="Q87" s="13"/>
      <c r="R87" s="20">
        <f>IF(P$12=0,0,P87/P$12)</f>
        <v>-2.5131024964206237</v>
      </c>
      <c r="S87" s="13"/>
      <c r="T87" s="21">
        <f>+T22-T24+T85</f>
        <v>-177312.64924307697</v>
      </c>
      <c r="U87" s="13"/>
      <c r="V87" s="20">
        <f>IF(T$12=0,0,T87/T$12)</f>
        <v>-5.8635135331705346</v>
      </c>
      <c r="W87" s="16"/>
      <c r="X87" s="21">
        <f>+P87-T87</f>
        <v>72031.799243076995</v>
      </c>
      <c r="Y87" s="16"/>
      <c r="Z87" s="20">
        <f>IF(T87=0,0,X87/T87)</f>
        <v>-0.40624174051073469</v>
      </c>
    </row>
    <row r="88" spans="1:26" x14ac:dyDescent="0.3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3">
      <c r="A89" s="52"/>
      <c r="B89" s="10" t="s">
        <v>128</v>
      </c>
      <c r="C89" s="10"/>
      <c r="D89" s="4">
        <v>6260.17</v>
      </c>
      <c r="E89" s="4"/>
      <c r="F89" s="12">
        <f>IF(D$12=0,0,D89/D$12)</f>
        <v>0.14943314814629155</v>
      </c>
      <c r="G89" s="4"/>
      <c r="H89" s="4">
        <v>3387</v>
      </c>
      <c r="I89" s="4"/>
      <c r="J89" s="12">
        <f>IF(H$12=0,0,H89/H$12)</f>
        <v>0.11200396825396826</v>
      </c>
      <c r="K89" s="4"/>
      <c r="L89" s="4">
        <f>+D89-H89</f>
        <v>2873.17</v>
      </c>
      <c r="M89" s="4"/>
      <c r="N89" s="12">
        <f>IF(H89=0,0,L89/H89)</f>
        <v>0.84829347505166819</v>
      </c>
      <c r="O89" s="10"/>
      <c r="P89" s="4">
        <v>6260.17</v>
      </c>
      <c r="Q89" s="4"/>
      <c r="R89" s="12">
        <f>IF(P$12=0,0,P89/P$12)</f>
        <v>0.14943314814629155</v>
      </c>
      <c r="S89" s="4"/>
      <c r="T89" s="4">
        <v>3387</v>
      </c>
      <c r="U89" s="4"/>
      <c r="V89" s="12">
        <f>IF(T$12=0,0,T89/T$12)</f>
        <v>0.11200396825396826</v>
      </c>
      <c r="W89" s="4"/>
      <c r="X89" s="4">
        <f>+P89-T89</f>
        <v>2873.17</v>
      </c>
      <c r="Y89" s="4"/>
      <c r="Z89" s="12">
        <f>IF(T89=0,0,X89/T89)</f>
        <v>0.84829347505166819</v>
      </c>
    </row>
    <row r="90" spans="1:26" x14ac:dyDescent="0.3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6" t="s">
        <v>126</v>
      </c>
      <c r="C91" s="26"/>
      <c r="D91" s="30">
        <f>+D87-D89</f>
        <v>-70776.290000000008</v>
      </c>
      <c r="E91" s="13"/>
      <c r="F91" s="35">
        <f>IF(D$12=0,0,D91/D$12)</f>
        <v>-1.6894627188742311</v>
      </c>
      <c r="G91" s="13"/>
      <c r="H91" s="30">
        <f>+H87-H89</f>
        <v>-92967.990496923114</v>
      </c>
      <c r="I91" s="13"/>
      <c r="J91" s="35">
        <f>IF(H$12=0,0,H91/H$12)</f>
        <v>-3.0743383100834363</v>
      </c>
      <c r="K91" s="16"/>
      <c r="L91" s="30">
        <f>D91-H91</f>
        <v>22191.700496923106</v>
      </c>
      <c r="M91" s="16"/>
      <c r="N91" s="35">
        <f>IF(H91=0,0,L91/H91)</f>
        <v>-0.23870259406819777</v>
      </c>
      <c r="O91" s="25"/>
      <c r="P91" s="30">
        <f>+P87-P89</f>
        <v>-111541.01999999997</v>
      </c>
      <c r="Q91" s="13"/>
      <c r="R91" s="35">
        <f>IF(P$12=0,0,P91/P$12)</f>
        <v>-2.6625356445669155</v>
      </c>
      <c r="S91" s="13"/>
      <c r="T91" s="30">
        <f>+T87-T89</f>
        <v>-180699.64924307697</v>
      </c>
      <c r="U91" s="13"/>
      <c r="V91" s="35">
        <f>IF(T$12=0,0,T91/T$12)</f>
        <v>-5.9755175014245028</v>
      </c>
      <c r="W91" s="16"/>
      <c r="X91" s="30">
        <f>P91-T91</f>
        <v>69158.629243076997</v>
      </c>
      <c r="Y91" s="16"/>
      <c r="Z91" s="35">
        <f>IF(T91=0,0,X91/T91)</f>
        <v>-0.38272697004544198</v>
      </c>
    </row>
    <row r="92" spans="1:26" ht="15" thickTop="1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3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35">
      <c r="A94" s="10"/>
      <c r="B94" s="26" t="s">
        <v>294</v>
      </c>
      <c r="C94" s="26"/>
      <c r="D94" s="32">
        <f>SUM(D91:D93)</f>
        <v>-70776.290000000008</v>
      </c>
      <c r="E94" s="13"/>
      <c r="F94" s="34">
        <f>IF(D$12=0,0,D94/D$12)</f>
        <v>-1.6894627188742311</v>
      </c>
      <c r="G94" s="13"/>
      <c r="H94" s="32">
        <f>SUM(H91:H93)</f>
        <v>-92967.990496923114</v>
      </c>
      <c r="I94" s="13"/>
      <c r="J94" s="34">
        <f>IF(H$12=0,0,H94/H$12)</f>
        <v>-3.0743383100834363</v>
      </c>
      <c r="K94" s="16"/>
      <c r="L94" s="32">
        <f>+D94-H94</f>
        <v>22191.700496923106</v>
      </c>
      <c r="M94" s="16"/>
      <c r="N94" s="34">
        <f>IF(H94=0,0,L94/H94)</f>
        <v>-0.23870259406819777</v>
      </c>
      <c r="O94" s="25"/>
      <c r="P94" s="32">
        <f>SUM(P91:P93)</f>
        <v>-111541.01999999997</v>
      </c>
      <c r="Q94" s="13"/>
      <c r="R94" s="34">
        <f>IF(P$12=0,0,P94/P$12)</f>
        <v>-2.6625356445669155</v>
      </c>
      <c r="S94" s="13"/>
      <c r="T94" s="32">
        <f>SUM(T91:T93)</f>
        <v>-180699.64924307697</v>
      </c>
      <c r="U94" s="13"/>
      <c r="V94" s="34">
        <f>IF(T$12=0,0,T94/T$12)</f>
        <v>-5.9755175014245028</v>
      </c>
      <c r="W94" s="16"/>
      <c r="X94" s="32">
        <f>+P94-T94</f>
        <v>69158.629243076997</v>
      </c>
      <c r="Y94" s="16"/>
      <c r="Z94" s="34">
        <f>IF(T94=0,0,X94/T94)</f>
        <v>-0.38272697004544198</v>
      </c>
    </row>
    <row r="95" spans="1:26" ht="15" thickTop="1" x14ac:dyDescent="0.3">
      <c r="A95" s="9"/>
      <c r="C95" s="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A96" s="9"/>
      <c r="B96" s="61">
        <v>44470.835499687499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58" t="s">
        <v>56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A98" s="9"/>
      <c r="B98" s="55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"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8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105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90197</v>
      </c>
      <c r="E12" s="4"/>
      <c r="F12" s="12"/>
      <c r="G12" s="4"/>
      <c r="H12" s="4">
        <f>SUM(OSRRefH13x_0)</f>
        <v>178536</v>
      </c>
      <c r="I12" s="4"/>
      <c r="J12" s="12"/>
      <c r="K12" s="4"/>
      <c r="L12" s="4">
        <f t="shared" ref="L12:L13" si="0">+D12-H12</f>
        <v>-88339</v>
      </c>
      <c r="M12" s="4"/>
      <c r="N12" s="12">
        <f t="shared" ref="N12:N13" si="1">IF(H12=0,0,L12/H12)</f>
        <v>-0.49479656763901958</v>
      </c>
      <c r="O12" s="10"/>
      <c r="P12" s="4">
        <f>SUM(OSRRefP13x_0)</f>
        <v>235852</v>
      </c>
      <c r="Q12" s="4"/>
      <c r="R12" s="12"/>
      <c r="S12" s="4"/>
      <c r="T12" s="4">
        <f>SUM(OSRRefT13x_0)</f>
        <v>220503</v>
      </c>
      <c r="U12" s="4"/>
      <c r="V12" s="12"/>
      <c r="W12" s="4"/>
      <c r="X12" s="4">
        <f t="shared" ref="X12:X13" si="2">+P12-T12</f>
        <v>15349</v>
      </c>
      <c r="Y12" s="4"/>
      <c r="Z12" s="12">
        <f t="shared" ref="Z12:Z13" si="3">IF(T12=0,0,X12/T12)</f>
        <v>6.9609030262626811E-2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--90197</f>
        <v>90197</v>
      </c>
      <c r="E13" s="2"/>
      <c r="F13" s="19"/>
      <c r="G13" s="2"/>
      <c r="H13" s="2">
        <v>178536</v>
      </c>
      <c r="I13" s="2"/>
      <c r="J13" s="19"/>
      <c r="K13" s="2"/>
      <c r="L13" s="2">
        <f t="shared" si="0"/>
        <v>-88339</v>
      </c>
      <c r="M13" s="2"/>
      <c r="N13" s="19">
        <f t="shared" si="1"/>
        <v>-0.49479656763901958</v>
      </c>
      <c r="O13" s="11"/>
      <c r="P13" s="2">
        <f>--235852</f>
        <v>235852</v>
      </c>
      <c r="Q13" s="2"/>
      <c r="R13" s="19"/>
      <c r="S13" s="2"/>
      <c r="T13" s="2">
        <v>220503</v>
      </c>
      <c r="U13" s="2"/>
      <c r="V13" s="19"/>
      <c r="W13" s="2"/>
      <c r="X13" s="2">
        <f t="shared" si="2"/>
        <v>15349</v>
      </c>
      <c r="Y13" s="2"/>
      <c r="Z13" s="19">
        <f t="shared" si="3"/>
        <v>6.9609030262626811E-2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1">
        <f>D12-D15</f>
        <v>90197</v>
      </c>
      <c r="E17" s="13"/>
      <c r="F17" s="20">
        <f>IF(D$12=0,0,D17/D$12)</f>
        <v>1</v>
      </c>
      <c r="G17" s="13"/>
      <c r="H17" s="21">
        <f>H12-H15</f>
        <v>178536</v>
      </c>
      <c r="I17" s="13"/>
      <c r="J17" s="20">
        <f>IF(H$12=0,0,H17/H$12)</f>
        <v>1</v>
      </c>
      <c r="K17" s="16"/>
      <c r="L17" s="21">
        <f>+D17-H17</f>
        <v>-88339</v>
      </c>
      <c r="M17" s="16"/>
      <c r="N17" s="20">
        <f>IF(H17=0,0,L17/H17)</f>
        <v>-0.49479656763901958</v>
      </c>
      <c r="O17" s="25"/>
      <c r="P17" s="21">
        <f>P12-P15</f>
        <v>235852</v>
      </c>
      <c r="Q17" s="13"/>
      <c r="R17" s="20">
        <f>IF(P$12=0,0,P17/P$12)</f>
        <v>1</v>
      </c>
      <c r="S17" s="13"/>
      <c r="T17" s="21">
        <f>T12-T15</f>
        <v>220503</v>
      </c>
      <c r="U17" s="13"/>
      <c r="V17" s="20">
        <f>IF(T$12=0,0,T17/T$12)</f>
        <v>1</v>
      </c>
      <c r="W17" s="16"/>
      <c r="X17" s="21">
        <f>+P17-T17</f>
        <v>15349</v>
      </c>
      <c r="Y17" s="16"/>
      <c r="Z17" s="20">
        <f>IF(T17=0,0,X17/T17)</f>
        <v>6.9609030262626811E-2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2">
        <f>SUM(OSRRefD22x_0)</f>
        <v>24361.880000000005</v>
      </c>
      <c r="E19" s="22"/>
      <c r="F19" s="31">
        <f t="shared" ref="F19:F29" si="4">IF(D$12=0,0,D19/D$12)</f>
        <v>0.27009634466778282</v>
      </c>
      <c r="G19" s="22"/>
      <c r="H19" s="22">
        <f>SUM(OSRRefH22x_0)</f>
        <v>162688.91620417769</v>
      </c>
      <c r="I19" s="22"/>
      <c r="J19" s="31">
        <f t="shared" ref="J19:J29" si="5">IF(H$12=0,0,H19/H$12)</f>
        <v>0.91123872050554333</v>
      </c>
      <c r="K19" s="4"/>
      <c r="L19" s="22">
        <f t="shared" ref="L19:L29" si="6">+D19-H19</f>
        <v>-138327.03620417768</v>
      </c>
      <c r="M19" s="4"/>
      <c r="N19" s="31">
        <f t="shared" ref="N19:N29" si="7">IF(H19=0,0,L19/H19)</f>
        <v>-0.85025482639871186</v>
      </c>
      <c r="O19" s="10"/>
      <c r="P19" s="22">
        <f>SUM(OSRRefP22x_0)</f>
        <v>170124.90000000002</v>
      </c>
      <c r="Q19" s="22"/>
      <c r="R19" s="31">
        <f t="shared" ref="R19:R29" si="8">IF(P$12=0,0,P19/P$12)</f>
        <v>0.72132057391923754</v>
      </c>
      <c r="S19" s="22"/>
      <c r="T19" s="22">
        <f>SUM(OSRRefT22x_0)</f>
        <v>202766.99606564979</v>
      </c>
      <c r="U19" s="22"/>
      <c r="V19" s="31">
        <f t="shared" ref="V19:V29" si="9">IF(T$12=0,0,T19/T$12)</f>
        <v>0.91956570235166768</v>
      </c>
      <c r="W19" s="4"/>
      <c r="X19" s="22">
        <f t="shared" ref="X19:X29" si="10">+P19-T19</f>
        <v>-32642.096065649763</v>
      </c>
      <c r="Y19" s="4"/>
      <c r="Z19" s="31">
        <f t="shared" ref="Z19:Z29" si="11">IF(T19=0,0,X19/T19)</f>
        <v>-0.16098327981877902</v>
      </c>
    </row>
    <row r="20" spans="1:26" s="28" customFormat="1" outlineLevel="1" collapsed="1" x14ac:dyDescent="0.3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3864.37</v>
      </c>
      <c r="E20" s="1"/>
      <c r="F20" s="5">
        <f t="shared" si="4"/>
        <v>4.2843664423428719E-2</v>
      </c>
      <c r="G20" s="1"/>
      <c r="H20" s="1">
        <f>SUM(OSRRefH22_0x_0)</f>
        <v>4450.3779618699982</v>
      </c>
      <c r="I20" s="1"/>
      <c r="J20" s="5">
        <f t="shared" si="5"/>
        <v>2.4927062115595724E-2</v>
      </c>
      <c r="K20" s="1"/>
      <c r="L20" s="1">
        <f t="shared" si="6"/>
        <v>-586.00796186999833</v>
      </c>
      <c r="M20" s="1"/>
      <c r="N20" s="5">
        <f t="shared" si="7"/>
        <v>-0.13167599850862205</v>
      </c>
      <c r="O20" s="14"/>
      <c r="P20" s="1">
        <f>SUM(OSRRefP22_0x_0)</f>
        <v>7666.1999999999989</v>
      </c>
      <c r="Q20" s="1"/>
      <c r="R20" s="5">
        <f t="shared" si="8"/>
        <v>3.2504282346556307E-2</v>
      </c>
      <c r="S20" s="1"/>
      <c r="T20" s="1">
        <f>SUM(OSRRefT22_0x_0)</f>
        <v>9332.160020457497</v>
      </c>
      <c r="U20" s="1"/>
      <c r="V20" s="5">
        <f t="shared" si="9"/>
        <v>4.232214536971151E-2</v>
      </c>
      <c r="W20" s="1"/>
      <c r="X20" s="1">
        <f t="shared" si="10"/>
        <v>-1665.9600204574981</v>
      </c>
      <c r="Y20" s="1"/>
      <c r="Z20" s="5">
        <f t="shared" si="11"/>
        <v>-0.17851815836906604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6">
        <v>1214.71</v>
      </c>
      <c r="E21" s="2"/>
      <c r="F21" s="7">
        <f t="shared" si="4"/>
        <v>1.3467299355854409E-2</v>
      </c>
      <c r="G21" s="2"/>
      <c r="H21" s="6">
        <v>1673.63160887769</v>
      </c>
      <c r="I21" s="2"/>
      <c r="J21" s="7">
        <f t="shared" si="5"/>
        <v>9.3741968503701784E-3</v>
      </c>
      <c r="K21" s="2"/>
      <c r="L21" s="6">
        <f t="shared" si="6"/>
        <v>-458.92160887769001</v>
      </c>
      <c r="M21" s="2"/>
      <c r="N21" s="7">
        <f t="shared" si="7"/>
        <v>-0.27420706351586854</v>
      </c>
      <c r="O21" s="11"/>
      <c r="P21" s="6">
        <v>2403.0700000000002</v>
      </c>
      <c r="Q21" s="2"/>
      <c r="R21" s="7">
        <f t="shared" si="8"/>
        <v>1.018888964265726E-2</v>
      </c>
      <c r="S21" s="2"/>
      <c r="T21" s="6">
        <v>3503.5080387248099</v>
      </c>
      <c r="U21" s="2"/>
      <c r="V21" s="7">
        <f t="shared" si="9"/>
        <v>1.5888709172776832E-2</v>
      </c>
      <c r="W21" s="2"/>
      <c r="X21" s="6">
        <f t="shared" si="10"/>
        <v>-1100.4380387248098</v>
      </c>
      <c r="Y21" s="2"/>
      <c r="Z21" s="7">
        <f t="shared" si="11"/>
        <v>-0.31409605074727953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180.15</v>
      </c>
      <c r="E22" s="2"/>
      <c r="F22" s="7">
        <f t="shared" si="4"/>
        <v>1.9972948102486778E-3</v>
      </c>
      <c r="G22" s="2"/>
      <c r="H22" s="6">
        <v>341.15579639999999</v>
      </c>
      <c r="I22" s="2"/>
      <c r="J22" s="7">
        <f t="shared" si="5"/>
        <v>1.910851572792042E-3</v>
      </c>
      <c r="K22" s="2"/>
      <c r="L22" s="6">
        <f t="shared" si="6"/>
        <v>-161.00579639999998</v>
      </c>
      <c r="M22" s="2"/>
      <c r="N22" s="7">
        <f t="shared" si="7"/>
        <v>-0.47194213933631407</v>
      </c>
      <c r="O22" s="11"/>
      <c r="P22" s="6">
        <v>338.14</v>
      </c>
      <c r="Q22" s="2"/>
      <c r="R22" s="7">
        <f t="shared" si="8"/>
        <v>1.4336957074775707E-3</v>
      </c>
      <c r="S22" s="2"/>
      <c r="T22" s="6">
        <v>714.16079190000005</v>
      </c>
      <c r="U22" s="2"/>
      <c r="V22" s="7">
        <f t="shared" si="9"/>
        <v>3.238780388021932E-3</v>
      </c>
      <c r="W22" s="2"/>
      <c r="X22" s="6">
        <f t="shared" si="10"/>
        <v>-376.02079190000006</v>
      </c>
      <c r="Y22" s="2"/>
      <c r="Z22" s="7">
        <f t="shared" si="11"/>
        <v>-0.52652119265692221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1.1689413173387141E-2</v>
      </c>
      <c r="G23" s="2"/>
      <c r="H23" s="6">
        <v>1022.5</v>
      </c>
      <c r="I23" s="2"/>
      <c r="J23" s="7">
        <f t="shared" si="5"/>
        <v>5.7271362638347447E-3</v>
      </c>
      <c r="K23" s="2"/>
      <c r="L23" s="6">
        <f t="shared" si="6"/>
        <v>31.849999999999909</v>
      </c>
      <c r="M23" s="2"/>
      <c r="N23" s="7">
        <f t="shared" si="7"/>
        <v>3.114914425427864E-2</v>
      </c>
      <c r="O23" s="11"/>
      <c r="P23" s="6">
        <v>2108.6999999999998</v>
      </c>
      <c r="Q23" s="2"/>
      <c r="R23" s="7">
        <f t="shared" si="8"/>
        <v>8.9407764191102891E-3</v>
      </c>
      <c r="S23" s="2"/>
      <c r="T23" s="6">
        <v>2045</v>
      </c>
      <c r="U23" s="2"/>
      <c r="V23" s="7">
        <f t="shared" si="9"/>
        <v>9.2742502369582269E-3</v>
      </c>
      <c r="W23" s="2"/>
      <c r="X23" s="6">
        <f t="shared" si="10"/>
        <v>63.699999999999818</v>
      </c>
      <c r="Y23" s="2"/>
      <c r="Z23" s="7">
        <f t="shared" si="11"/>
        <v>3.114914425427864E-2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35.299999999999997</v>
      </c>
      <c r="E24" s="2"/>
      <c r="F24" s="7">
        <f t="shared" si="4"/>
        <v>3.9136556648225549E-4</v>
      </c>
      <c r="G24" s="2"/>
      <c r="H24" s="6">
        <v>45.924818746153797</v>
      </c>
      <c r="I24" s="2"/>
      <c r="J24" s="7">
        <f t="shared" si="5"/>
        <v>2.5723001941431304E-4</v>
      </c>
      <c r="K24" s="2"/>
      <c r="L24" s="6">
        <f t="shared" si="6"/>
        <v>-10.6248187461538</v>
      </c>
      <c r="M24" s="2"/>
      <c r="N24" s="7">
        <f t="shared" si="7"/>
        <v>-0.23135243722749865</v>
      </c>
      <c r="O24" s="11"/>
      <c r="P24" s="6">
        <v>66.64</v>
      </c>
      <c r="Q24" s="2"/>
      <c r="R24" s="7">
        <f t="shared" si="8"/>
        <v>2.8255007377507926E-4</v>
      </c>
      <c r="S24" s="2"/>
      <c r="T24" s="6">
        <v>96.137029678846105</v>
      </c>
      <c r="U24" s="2"/>
      <c r="V24" s="7">
        <f t="shared" si="9"/>
        <v>4.3598966761833672E-4</v>
      </c>
      <c r="W24" s="2"/>
      <c r="X24" s="6">
        <f t="shared" si="10"/>
        <v>-29.497029678846104</v>
      </c>
      <c r="Y24" s="2"/>
      <c r="Z24" s="7">
        <f t="shared" si="11"/>
        <v>-0.30682276930526597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6">
        <v>586.58000000000004</v>
      </c>
      <c r="E25" s="2"/>
      <c r="F25" s="7">
        <f t="shared" si="4"/>
        <v>6.503320509551316E-3</v>
      </c>
      <c r="G25" s="2"/>
      <c r="H25" s="6">
        <v>576.92767246153903</v>
      </c>
      <c r="I25" s="2"/>
      <c r="J25" s="7">
        <f t="shared" si="5"/>
        <v>3.2314360827034269E-3</v>
      </c>
      <c r="K25" s="2"/>
      <c r="L25" s="6">
        <f t="shared" si="6"/>
        <v>9.6523275384610088</v>
      </c>
      <c r="M25" s="2"/>
      <c r="N25" s="7">
        <f t="shared" si="7"/>
        <v>1.6730567797654881E-2</v>
      </c>
      <c r="O25" s="11"/>
      <c r="P25" s="6">
        <v>1173.1600000000001</v>
      </c>
      <c r="Q25" s="2"/>
      <c r="R25" s="7">
        <f t="shared" si="8"/>
        <v>4.9741363227786923E-3</v>
      </c>
      <c r="S25" s="2"/>
      <c r="T25" s="6">
        <v>1298.0872630384599</v>
      </c>
      <c r="U25" s="2"/>
      <c r="V25" s="7">
        <f t="shared" si="9"/>
        <v>5.8869369715534936E-3</v>
      </c>
      <c r="W25" s="2"/>
      <c r="X25" s="6">
        <f t="shared" si="10"/>
        <v>-124.92726303845984</v>
      </c>
      <c r="Y25" s="2"/>
      <c r="Z25" s="7">
        <f t="shared" si="11"/>
        <v>-9.6239495290971422E-2</v>
      </c>
    </row>
    <row r="26" spans="1:26" s="24" customFormat="1" hidden="1" outlineLevel="2" x14ac:dyDescent="0.3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3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>
        <v>112.61</v>
      </c>
      <c r="E27" s="2"/>
      <c r="F27" s="7">
        <f t="shared" si="4"/>
        <v>1.2484894176081245E-3</v>
      </c>
      <c r="G27" s="2"/>
      <c r="H27" s="6"/>
      <c r="I27" s="2"/>
      <c r="J27" s="7">
        <f t="shared" si="5"/>
        <v>0</v>
      </c>
      <c r="K27" s="2"/>
      <c r="L27" s="6">
        <f t="shared" si="6"/>
        <v>112.61</v>
      </c>
      <c r="M27" s="2"/>
      <c r="N27" s="7">
        <f t="shared" si="7"/>
        <v>0</v>
      </c>
      <c r="O27" s="11"/>
      <c r="P27" s="6">
        <v>215.15</v>
      </c>
      <c r="Q27" s="2"/>
      <c r="R27" s="7">
        <f t="shared" si="8"/>
        <v>9.122246154367994E-4</v>
      </c>
      <c r="S27" s="2"/>
      <c r="T27" s="6"/>
      <c r="U27" s="2"/>
      <c r="V27" s="7">
        <f t="shared" si="9"/>
        <v>0</v>
      </c>
      <c r="W27" s="2"/>
      <c r="X27" s="6">
        <f t="shared" si="10"/>
        <v>215.15</v>
      </c>
      <c r="Y27" s="2"/>
      <c r="Z27" s="7">
        <f t="shared" si="11"/>
        <v>0</v>
      </c>
    </row>
    <row r="28" spans="1:26" s="24" customFormat="1" hidden="1" outlineLevel="2" x14ac:dyDescent="0.3">
      <c r="A28" s="27"/>
      <c r="B28" s="11" t="str">
        <f>CONCATENATE("          ", "6118", " - ", "VACATION")</f>
        <v xml:space="preserve">          6118 - VACATION</v>
      </c>
      <c r="C28" s="11"/>
      <c r="D28" s="6">
        <v>413.76</v>
      </c>
      <c r="E28" s="2"/>
      <c r="F28" s="7">
        <f t="shared" si="4"/>
        <v>4.5872922602747321E-3</v>
      </c>
      <c r="G28" s="2"/>
      <c r="H28" s="6">
        <v>201.25383923076899</v>
      </c>
      <c r="I28" s="2"/>
      <c r="J28" s="7">
        <f t="shared" si="5"/>
        <v>1.1272451451291E-3</v>
      </c>
      <c r="K28" s="2"/>
      <c r="L28" s="6">
        <f t="shared" si="6"/>
        <v>212.506160769231</v>
      </c>
      <c r="M28" s="2"/>
      <c r="N28" s="7">
        <f t="shared" si="7"/>
        <v>1.0559110901012898</v>
      </c>
      <c r="O28" s="11"/>
      <c r="P28" s="6">
        <v>827.52</v>
      </c>
      <c r="Q28" s="2"/>
      <c r="R28" s="7">
        <f t="shared" si="8"/>
        <v>3.5086410121601681E-3</v>
      </c>
      <c r="S28" s="2"/>
      <c r="T28" s="6">
        <v>452.82113826923103</v>
      </c>
      <c r="U28" s="2"/>
      <c r="V28" s="7">
        <f t="shared" si="9"/>
        <v>2.0535826644954083E-3</v>
      </c>
      <c r="W28" s="2"/>
      <c r="X28" s="6">
        <f t="shared" si="10"/>
        <v>374.69886173076895</v>
      </c>
      <c r="Y28" s="2"/>
      <c r="Z28" s="7">
        <f t="shared" si="11"/>
        <v>0.82747652453447651</v>
      </c>
    </row>
    <row r="29" spans="1:26" s="24" customFormat="1" hidden="1" outlineLevel="2" x14ac:dyDescent="0.3">
      <c r="A29" s="27"/>
      <c r="B29" s="11" t="str">
        <f>CONCATENATE("          ", "6119", " - ", "SICK LEAVE")</f>
        <v xml:space="preserve">          6119 - SICK LEAVE</v>
      </c>
      <c r="C29" s="11"/>
      <c r="D29" s="6">
        <v>266.91000000000003</v>
      </c>
      <c r="E29" s="2"/>
      <c r="F29" s="7">
        <f t="shared" si="4"/>
        <v>2.9591893300220632E-3</v>
      </c>
      <c r="G29" s="2"/>
      <c r="H29" s="6">
        <v>588.98422615384595</v>
      </c>
      <c r="I29" s="2"/>
      <c r="J29" s="7">
        <f t="shared" si="5"/>
        <v>3.2989661813519174E-3</v>
      </c>
      <c r="K29" s="2"/>
      <c r="L29" s="6">
        <f t="shared" si="6"/>
        <v>-322.07422615384593</v>
      </c>
      <c r="M29" s="2"/>
      <c r="N29" s="7">
        <f t="shared" si="7"/>
        <v>-0.54682996904185066</v>
      </c>
      <c r="O29" s="11"/>
      <c r="P29" s="6">
        <v>533.82000000000005</v>
      </c>
      <c r="Q29" s="2"/>
      <c r="R29" s="7">
        <f t="shared" si="8"/>
        <v>2.2633685531604567E-3</v>
      </c>
      <c r="S29" s="2"/>
      <c r="T29" s="6">
        <v>1222.4457588461501</v>
      </c>
      <c r="U29" s="2"/>
      <c r="V29" s="7">
        <f t="shared" si="9"/>
        <v>5.54389626828728E-3</v>
      </c>
      <c r="W29" s="2"/>
      <c r="X29" s="6">
        <f t="shared" si="10"/>
        <v>-688.62575884615001</v>
      </c>
      <c r="Y29" s="2"/>
      <c r="Z29" s="7">
        <f t="shared" si="11"/>
        <v>-0.56331804815301945</v>
      </c>
    </row>
    <row r="30" spans="1:26" s="28" customFormat="1" outlineLevel="1" collapsed="1" x14ac:dyDescent="0.3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17485.11</v>
      </c>
      <c r="E30" s="1"/>
      <c r="F30" s="5">
        <f t="shared" ref="F30:F40" si="12">IF(D$12=0,0,D30/D$12)</f>
        <v>0.19385467365876916</v>
      </c>
      <c r="G30" s="1"/>
      <c r="H30" s="1">
        <f>SUM(OSRRefH22_1x_0)</f>
        <v>21533.538242307688</v>
      </c>
      <c r="I30" s="1"/>
      <c r="J30" s="5">
        <f t="shared" ref="J30:J40" si="13">IF(H$12=0,0,H30/H$12)</f>
        <v>0.12061174352683877</v>
      </c>
      <c r="K30" s="1"/>
      <c r="L30" s="1">
        <f t="shared" ref="L30:L40" si="14">+D30-H30</f>
        <v>-4048.4282423076875</v>
      </c>
      <c r="M30" s="1"/>
      <c r="N30" s="5">
        <f t="shared" ref="N30:N40" si="15">IF(H30=0,0,L30/H30)</f>
        <v>-0.18800571446979394</v>
      </c>
      <c r="O30" s="14"/>
      <c r="P30" s="1">
        <f>SUM(OSRRefP22_1x_0)</f>
        <v>36455.67</v>
      </c>
      <c r="Q30" s="1"/>
      <c r="R30" s="5">
        <f t="shared" ref="R30:R40" si="16">IF(P$12=0,0,P30/P$12)</f>
        <v>0.15457011176500515</v>
      </c>
      <c r="S30" s="1"/>
      <c r="T30" s="1">
        <f>SUM(OSRRefT22_1x_0)</f>
        <v>45024.836045192307</v>
      </c>
      <c r="U30" s="1"/>
      <c r="V30" s="5">
        <f t="shared" ref="V30:V40" si="17">IF(T$12=0,0,T30/T$12)</f>
        <v>0.20419148966314429</v>
      </c>
      <c r="W30" s="1"/>
      <c r="X30" s="1">
        <f t="shared" ref="X30:X40" si="18">+P30-T30</f>
        <v>-8569.166045192309</v>
      </c>
      <c r="Y30" s="1"/>
      <c r="Z30" s="5">
        <f t="shared" ref="Z30:Z40" si="19">IF(T30=0,0,X30/T30)</f>
        <v>-0.19032087172047155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4479.1000000000004</v>
      </c>
      <c r="E31" s="2"/>
      <c r="F31" s="7">
        <f t="shared" si="12"/>
        <v>4.9659079570273962E-2</v>
      </c>
      <c r="G31" s="2"/>
      <c r="H31" s="6">
        <v>4139.8076923076896</v>
      </c>
      <c r="I31" s="2"/>
      <c r="J31" s="7">
        <f t="shared" si="13"/>
        <v>2.3187523481581807E-2</v>
      </c>
      <c r="K31" s="2"/>
      <c r="L31" s="6">
        <f t="shared" si="14"/>
        <v>339.29230769231071</v>
      </c>
      <c r="M31" s="2"/>
      <c r="N31" s="7">
        <f t="shared" si="15"/>
        <v>8.1958470757653959E-2</v>
      </c>
      <c r="O31" s="11"/>
      <c r="P31" s="6">
        <v>10078.200000000001</v>
      </c>
      <c r="Q31" s="2"/>
      <c r="R31" s="7">
        <f t="shared" si="16"/>
        <v>4.2731034716686739E-2</v>
      </c>
      <c r="S31" s="2"/>
      <c r="T31" s="6">
        <v>9314.5673076923104</v>
      </c>
      <c r="U31" s="2"/>
      <c r="V31" s="7">
        <f t="shared" si="17"/>
        <v>4.2242360909794018E-2</v>
      </c>
      <c r="W31" s="2"/>
      <c r="X31" s="6">
        <f t="shared" si="18"/>
        <v>763.63269230769038</v>
      </c>
      <c r="Y31" s="2"/>
      <c r="Z31" s="7">
        <f t="shared" si="19"/>
        <v>8.1982626469085107E-2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6">
        <v>1634.68</v>
      </c>
      <c r="E32" s="2"/>
      <c r="F32" s="7">
        <f t="shared" si="12"/>
        <v>1.8123440912668938E-2</v>
      </c>
      <c r="G32" s="2"/>
      <c r="H32" s="6">
        <v>2233.2305500000002</v>
      </c>
      <c r="I32" s="2"/>
      <c r="J32" s="7">
        <f t="shared" si="13"/>
        <v>1.250857278083972E-2</v>
      </c>
      <c r="K32" s="2"/>
      <c r="L32" s="6">
        <f t="shared" si="14"/>
        <v>-598.55055000000016</v>
      </c>
      <c r="M32" s="2"/>
      <c r="N32" s="7">
        <f t="shared" si="15"/>
        <v>-0.26802004387769102</v>
      </c>
      <c r="O32" s="11"/>
      <c r="P32" s="6">
        <v>6748.3</v>
      </c>
      <c r="Q32" s="2"/>
      <c r="R32" s="7">
        <f t="shared" si="16"/>
        <v>2.861243491681224E-2</v>
      </c>
      <c r="S32" s="2"/>
      <c r="T32" s="6">
        <v>5024.7687374999996</v>
      </c>
      <c r="U32" s="2"/>
      <c r="V32" s="7">
        <f t="shared" si="17"/>
        <v>2.2787756799227218E-2</v>
      </c>
      <c r="W32" s="2"/>
      <c r="X32" s="6">
        <f t="shared" si="18"/>
        <v>1723.5312625000006</v>
      </c>
      <c r="Y32" s="2"/>
      <c r="Z32" s="7">
        <f t="shared" si="19"/>
        <v>0.34300708202493679</v>
      </c>
    </row>
    <row r="33" spans="1:26" s="24" customFormat="1" hidden="1" outlineLevel="2" x14ac:dyDescent="0.3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6">
        <v>2322.4</v>
      </c>
      <c r="E34" s="2"/>
      <c r="F34" s="7">
        <f t="shared" si="12"/>
        <v>2.574808474782975E-2</v>
      </c>
      <c r="G34" s="2"/>
      <c r="H34" s="6">
        <v>2088</v>
      </c>
      <c r="I34" s="2"/>
      <c r="J34" s="7">
        <f t="shared" si="13"/>
        <v>1.1695120311869875E-2</v>
      </c>
      <c r="K34" s="2"/>
      <c r="L34" s="6">
        <f t="shared" si="14"/>
        <v>234.40000000000009</v>
      </c>
      <c r="M34" s="2"/>
      <c r="N34" s="7">
        <f t="shared" si="15"/>
        <v>0.11226053639846748</v>
      </c>
      <c r="O34" s="11"/>
      <c r="P34" s="6">
        <v>2322.4</v>
      </c>
      <c r="Q34" s="2"/>
      <c r="R34" s="7">
        <f t="shared" si="16"/>
        <v>9.8468531112731721E-3</v>
      </c>
      <c r="S34" s="2"/>
      <c r="T34" s="6">
        <v>4698</v>
      </c>
      <c r="U34" s="2"/>
      <c r="V34" s="7">
        <f t="shared" si="17"/>
        <v>2.1305832573706482E-2</v>
      </c>
      <c r="W34" s="2"/>
      <c r="X34" s="6">
        <f t="shared" si="18"/>
        <v>-2375.6</v>
      </c>
      <c r="Y34" s="2"/>
      <c r="Z34" s="7">
        <f t="shared" si="19"/>
        <v>-0.50566198382290339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7230.43</v>
      </c>
      <c r="E35" s="2"/>
      <c r="F35" s="7">
        <f t="shared" si="12"/>
        <v>8.016264399037662E-2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7230.43</v>
      </c>
      <c r="M35" s="2"/>
      <c r="N35" s="7">
        <f t="shared" si="15"/>
        <v>0</v>
      </c>
      <c r="O35" s="11"/>
      <c r="P35" s="6">
        <v>13410.07</v>
      </c>
      <c r="Q35" s="2"/>
      <c r="R35" s="7">
        <f t="shared" si="16"/>
        <v>5.6857987212319591E-2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13410.07</v>
      </c>
      <c r="Y35" s="2"/>
      <c r="Z35" s="7">
        <f t="shared" si="19"/>
        <v>0</v>
      </c>
    </row>
    <row r="36" spans="1:26" s="24" customFormat="1" hidden="1" outlineLevel="2" x14ac:dyDescent="0.3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3">
      <c r="A37" s="27"/>
      <c r="B37" s="11" t="str">
        <f>CONCATENATE("          ", "6007", " - ", "STUDENT HOURLY")</f>
        <v xml:space="preserve">          6007 - STUDENT HOURLY</v>
      </c>
      <c r="C37" s="11"/>
      <c r="D37" s="6">
        <v>1818.5</v>
      </c>
      <c r="E37" s="2"/>
      <c r="F37" s="7">
        <f t="shared" si="12"/>
        <v>2.0161424437619875E-2</v>
      </c>
      <c r="G37" s="2"/>
      <c r="H37" s="6">
        <v>13072.5</v>
      </c>
      <c r="I37" s="2"/>
      <c r="J37" s="7">
        <f t="shared" si="13"/>
        <v>7.3220526952547382E-2</v>
      </c>
      <c r="K37" s="2"/>
      <c r="L37" s="6">
        <f t="shared" si="14"/>
        <v>-11254</v>
      </c>
      <c r="M37" s="2"/>
      <c r="N37" s="7">
        <f t="shared" si="15"/>
        <v>-0.86089118378275009</v>
      </c>
      <c r="O37" s="11"/>
      <c r="P37" s="6">
        <v>3896.7</v>
      </c>
      <c r="Q37" s="2"/>
      <c r="R37" s="7">
        <f t="shared" si="16"/>
        <v>1.6521801807913437E-2</v>
      </c>
      <c r="S37" s="2"/>
      <c r="T37" s="6">
        <v>25987.5</v>
      </c>
      <c r="U37" s="2"/>
      <c r="V37" s="7">
        <f t="shared" si="17"/>
        <v>0.1178555393804166</v>
      </c>
      <c r="W37" s="2"/>
      <c r="X37" s="6">
        <f t="shared" si="18"/>
        <v>-22090.799999999999</v>
      </c>
      <c r="Y37" s="2"/>
      <c r="Z37" s="7">
        <f t="shared" si="19"/>
        <v>-0.85005483405483406</v>
      </c>
    </row>
    <row r="38" spans="1:26" s="24" customFormat="1" hidden="1" outlineLevel="2" x14ac:dyDescent="0.3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3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8" customFormat="1" outlineLevel="1" collapsed="1" x14ac:dyDescent="0.3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17.64</v>
      </c>
      <c r="E41" s="1"/>
      <c r="F41" s="5">
        <f t="shared" ref="F41:F58" si="20">IF(D$12=0,0,D41/D$12)</f>
        <v>1.9557191480869653E-4</v>
      </c>
      <c r="G41" s="1"/>
      <c r="H41" s="1">
        <f>SUM(OSRRefH22_2x_0)</f>
        <v>100</v>
      </c>
      <c r="I41" s="1"/>
      <c r="J41" s="5">
        <f t="shared" ref="J41:J58" si="21">IF(H$12=0,0,H41/H$12)</f>
        <v>5.6011112604740783E-4</v>
      </c>
      <c r="K41" s="1"/>
      <c r="L41" s="1">
        <f t="shared" ref="L41:L58" si="22">+D41-H41</f>
        <v>-82.36</v>
      </c>
      <c r="M41" s="1"/>
      <c r="N41" s="5">
        <f t="shared" ref="N41:N58" si="23">IF(H41=0,0,L41/H41)</f>
        <v>-0.8236</v>
      </c>
      <c r="O41" s="14"/>
      <c r="P41" s="1">
        <f>SUM(OSRRefP22_2x_0)</f>
        <v>17.64</v>
      </c>
      <c r="Q41" s="1"/>
      <c r="R41" s="5">
        <f t="shared" ref="R41:R58" si="24">IF(P$12=0,0,P41/P$12)</f>
        <v>7.4792666587520992E-5</v>
      </c>
      <c r="S41" s="1"/>
      <c r="T41" s="1">
        <f>SUM(OSRRefT22_2x_0)</f>
        <v>200</v>
      </c>
      <c r="U41" s="1"/>
      <c r="V41" s="5">
        <f t="shared" ref="V41:V58" si="25">IF(T$12=0,0,T41/T$12)</f>
        <v>9.0701713808882421E-4</v>
      </c>
      <c r="W41" s="1"/>
      <c r="X41" s="1">
        <f t="shared" ref="X41:X58" si="26">+P41-T41</f>
        <v>-182.36</v>
      </c>
      <c r="Y41" s="1"/>
      <c r="Z41" s="5">
        <f t="shared" ref="Z41:Z58" si="27">IF(T41=0,0,X41/T41)</f>
        <v>-0.91180000000000005</v>
      </c>
    </row>
    <row r="42" spans="1:26" s="24" customFormat="1" hidden="1" outlineLevel="2" x14ac:dyDescent="0.3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17.64</v>
      </c>
      <c r="E42" s="2"/>
      <c r="F42" s="7">
        <f t="shared" si="20"/>
        <v>1.9557191480869653E-4</v>
      </c>
      <c r="G42" s="2"/>
      <c r="H42" s="6">
        <v>100</v>
      </c>
      <c r="I42" s="2"/>
      <c r="J42" s="7">
        <f t="shared" si="21"/>
        <v>5.6011112604740783E-4</v>
      </c>
      <c r="K42" s="2"/>
      <c r="L42" s="6">
        <f t="shared" si="22"/>
        <v>-82.36</v>
      </c>
      <c r="M42" s="2"/>
      <c r="N42" s="7">
        <f t="shared" si="23"/>
        <v>-0.8236</v>
      </c>
      <c r="O42" s="11"/>
      <c r="P42" s="6">
        <v>17.64</v>
      </c>
      <c r="Q42" s="2"/>
      <c r="R42" s="7">
        <f t="shared" si="24"/>
        <v>7.4792666587520992E-5</v>
      </c>
      <c r="S42" s="2"/>
      <c r="T42" s="6">
        <v>200</v>
      </c>
      <c r="U42" s="2"/>
      <c r="V42" s="7">
        <f t="shared" si="25"/>
        <v>9.0701713808882421E-4</v>
      </c>
      <c r="W42" s="2"/>
      <c r="X42" s="6">
        <f t="shared" si="26"/>
        <v>-182.36</v>
      </c>
      <c r="Y42" s="2"/>
      <c r="Z42" s="7">
        <f t="shared" si="27"/>
        <v>-0.91180000000000005</v>
      </c>
    </row>
    <row r="43" spans="1:26" s="28" customFormat="1" outlineLevel="1" collapsed="1" x14ac:dyDescent="0.3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467.14</v>
      </c>
      <c r="E43" s="1"/>
      <c r="F43" s="5">
        <f t="shared" si="20"/>
        <v>5.179107952592658E-3</v>
      </c>
      <c r="G43" s="1"/>
      <c r="H43" s="1">
        <f>SUM(OSRRefH22_3x_0)</f>
        <v>1250</v>
      </c>
      <c r="I43" s="1"/>
      <c r="J43" s="5">
        <f t="shared" si="21"/>
        <v>7.0013890755925975E-3</v>
      </c>
      <c r="K43" s="1"/>
      <c r="L43" s="1">
        <f t="shared" si="22"/>
        <v>-782.86</v>
      </c>
      <c r="M43" s="1"/>
      <c r="N43" s="5">
        <f t="shared" si="23"/>
        <v>-0.62628799999999996</v>
      </c>
      <c r="O43" s="14"/>
      <c r="P43" s="1">
        <f>SUM(OSRRefP22_3x_0)</f>
        <v>511.26</v>
      </c>
      <c r="Q43" s="1"/>
      <c r="R43" s="5">
        <f t="shared" si="24"/>
        <v>2.1677153469124703E-3</v>
      </c>
      <c r="S43" s="1"/>
      <c r="T43" s="1">
        <f>SUM(OSRRefT22_3x_0)</f>
        <v>2500</v>
      </c>
      <c r="U43" s="1"/>
      <c r="V43" s="5">
        <f t="shared" si="25"/>
        <v>1.1337714226110303E-2</v>
      </c>
      <c r="W43" s="1"/>
      <c r="X43" s="1">
        <f t="shared" si="26"/>
        <v>-1988.74</v>
      </c>
      <c r="Y43" s="1"/>
      <c r="Z43" s="5">
        <f t="shared" si="27"/>
        <v>-0.79549599999999998</v>
      </c>
    </row>
    <row r="44" spans="1:26" s="24" customFormat="1" hidden="1" outlineLevel="2" x14ac:dyDescent="0.3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467.14</v>
      </c>
      <c r="E44" s="2"/>
      <c r="F44" s="7">
        <f t="shared" si="20"/>
        <v>5.179107952592658E-3</v>
      </c>
      <c r="G44" s="2"/>
      <c r="H44" s="6">
        <v>1250</v>
      </c>
      <c r="I44" s="2"/>
      <c r="J44" s="7">
        <f t="shared" si="21"/>
        <v>7.0013890755925975E-3</v>
      </c>
      <c r="K44" s="2"/>
      <c r="L44" s="6">
        <f t="shared" si="22"/>
        <v>-782.86</v>
      </c>
      <c r="M44" s="2"/>
      <c r="N44" s="7">
        <f t="shared" si="23"/>
        <v>-0.62628799999999996</v>
      </c>
      <c r="O44" s="11"/>
      <c r="P44" s="6">
        <v>511.26</v>
      </c>
      <c r="Q44" s="2"/>
      <c r="R44" s="7">
        <f t="shared" si="24"/>
        <v>2.1677153469124703E-3</v>
      </c>
      <c r="S44" s="2"/>
      <c r="T44" s="6">
        <v>2500</v>
      </c>
      <c r="U44" s="2"/>
      <c r="V44" s="7">
        <f t="shared" si="25"/>
        <v>1.1337714226110303E-2</v>
      </c>
      <c r="W44" s="2"/>
      <c r="X44" s="6">
        <f t="shared" si="26"/>
        <v>-1988.74</v>
      </c>
      <c r="Y44" s="2"/>
      <c r="Z44" s="7">
        <f t="shared" si="27"/>
        <v>-0.79549599999999998</v>
      </c>
    </row>
    <row r="45" spans="1:26" s="28" customFormat="1" outlineLevel="1" collapsed="1" x14ac:dyDescent="0.3">
      <c r="A45" s="29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20</v>
      </c>
      <c r="I45" s="1"/>
      <c r="J45" s="5">
        <f t="shared" si="21"/>
        <v>1.1202222520948156E-4</v>
      </c>
      <c r="K45" s="1"/>
      <c r="L45" s="1">
        <f t="shared" si="22"/>
        <v>-20</v>
      </c>
      <c r="M45" s="1"/>
      <c r="N45" s="5">
        <f t="shared" si="23"/>
        <v>-1</v>
      </c>
      <c r="O45" s="14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40</v>
      </c>
      <c r="U45" s="1"/>
      <c r="V45" s="5">
        <f t="shared" si="25"/>
        <v>1.8140342761776483E-4</v>
      </c>
      <c r="W45" s="1"/>
      <c r="X45" s="1">
        <f t="shared" si="26"/>
        <v>-40</v>
      </c>
      <c r="Y45" s="1"/>
      <c r="Z45" s="5">
        <f t="shared" si="27"/>
        <v>-1</v>
      </c>
    </row>
    <row r="46" spans="1:26" s="24" customFormat="1" hidden="1" outlineLevel="2" x14ac:dyDescent="0.3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20</v>
      </c>
      <c r="I46" s="2"/>
      <c r="J46" s="7">
        <f t="shared" si="21"/>
        <v>1.1202222520948156E-4</v>
      </c>
      <c r="K46" s="2"/>
      <c r="L46" s="6">
        <f t="shared" si="22"/>
        <v>-20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40</v>
      </c>
      <c r="U46" s="2"/>
      <c r="V46" s="7">
        <f t="shared" si="25"/>
        <v>1.8140342761776483E-4</v>
      </c>
      <c r="W46" s="2"/>
      <c r="X46" s="6">
        <f t="shared" si="26"/>
        <v>-40</v>
      </c>
      <c r="Y46" s="2"/>
      <c r="Z46" s="7">
        <f t="shared" si="27"/>
        <v>-1</v>
      </c>
    </row>
    <row r="47" spans="1:26" s="28" customFormat="1" outlineLevel="1" collapsed="1" x14ac:dyDescent="0.3">
      <c r="A47" s="29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5.6011112604740781E-5</v>
      </c>
      <c r="K47" s="1"/>
      <c r="L47" s="1">
        <f t="shared" si="22"/>
        <v>-10</v>
      </c>
      <c r="M47" s="1"/>
      <c r="N47" s="5">
        <f t="shared" si="23"/>
        <v>-1</v>
      </c>
      <c r="O47" s="14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20</v>
      </c>
      <c r="U47" s="1"/>
      <c r="V47" s="5">
        <f t="shared" si="25"/>
        <v>9.0701713808882415E-5</v>
      </c>
      <c r="W47" s="1"/>
      <c r="X47" s="1">
        <f t="shared" si="26"/>
        <v>-20</v>
      </c>
      <c r="Y47" s="1"/>
      <c r="Z47" s="5">
        <f t="shared" si="27"/>
        <v>-1</v>
      </c>
    </row>
    <row r="48" spans="1:26" s="24" customFormat="1" hidden="1" outlineLevel="2" x14ac:dyDescent="0.3">
      <c r="A48" s="27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5.6011112604740781E-5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20</v>
      </c>
      <c r="U48" s="2"/>
      <c r="V48" s="7">
        <f t="shared" si="25"/>
        <v>9.0701713808882415E-5</v>
      </c>
      <c r="W48" s="2"/>
      <c r="X48" s="6">
        <f t="shared" si="26"/>
        <v>-20</v>
      </c>
      <c r="Y48" s="2"/>
      <c r="Z48" s="7">
        <f t="shared" si="27"/>
        <v>-1</v>
      </c>
    </row>
    <row r="49" spans="1:26" s="28" customFormat="1" outlineLevel="1" collapsed="1" x14ac:dyDescent="0.3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2.8005556302370391E-4</v>
      </c>
      <c r="K49" s="1"/>
      <c r="L49" s="1">
        <f t="shared" si="22"/>
        <v>-50</v>
      </c>
      <c r="M49" s="1"/>
      <c r="N49" s="5">
        <f t="shared" si="23"/>
        <v>-1</v>
      </c>
      <c r="O49" s="14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100</v>
      </c>
      <c r="U49" s="1"/>
      <c r="V49" s="5">
        <f t="shared" si="25"/>
        <v>4.535085690444121E-4</v>
      </c>
      <c r="W49" s="1"/>
      <c r="X49" s="1">
        <f t="shared" si="26"/>
        <v>-100</v>
      </c>
      <c r="Y49" s="1"/>
      <c r="Z49" s="5">
        <f t="shared" si="27"/>
        <v>-1</v>
      </c>
    </row>
    <row r="50" spans="1:26" s="24" customFormat="1" hidden="1" outlineLevel="2" x14ac:dyDescent="0.3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2.8005556302370391E-4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100</v>
      </c>
      <c r="U50" s="2"/>
      <c r="V50" s="7">
        <f t="shared" si="25"/>
        <v>4.535085690444121E-4</v>
      </c>
      <c r="W50" s="2"/>
      <c r="X50" s="6">
        <f t="shared" si="26"/>
        <v>-100</v>
      </c>
      <c r="Y50" s="2"/>
      <c r="Z50" s="7">
        <f t="shared" si="27"/>
        <v>-1</v>
      </c>
    </row>
    <row r="51" spans="1:26" s="28" customFormat="1" outlineLevel="1" collapsed="1" x14ac:dyDescent="0.3">
      <c r="A51" s="29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39.43</v>
      </c>
      <c r="E51" s="1"/>
      <c r="F51" s="5">
        <f t="shared" si="20"/>
        <v>4.3715422907635509E-4</v>
      </c>
      <c r="G51" s="1"/>
      <c r="H51" s="1">
        <f>SUM(OSRRefH22_7x_0)</f>
        <v>40</v>
      </c>
      <c r="I51" s="1"/>
      <c r="J51" s="5">
        <f t="shared" si="21"/>
        <v>2.2404445041896313E-4</v>
      </c>
      <c r="K51" s="1"/>
      <c r="L51" s="1">
        <f t="shared" si="22"/>
        <v>-0.57000000000000028</v>
      </c>
      <c r="M51" s="1"/>
      <c r="N51" s="5">
        <f t="shared" si="23"/>
        <v>-1.4250000000000007E-2</v>
      </c>
      <c r="O51" s="14"/>
      <c r="P51" s="1">
        <f>SUM(OSRRefP22_7x_0)</f>
        <v>78.86</v>
      </c>
      <c r="Q51" s="1"/>
      <c r="R51" s="5">
        <f t="shared" si="24"/>
        <v>3.3436222715940505E-4</v>
      </c>
      <c r="S51" s="1"/>
      <c r="T51" s="1">
        <f>SUM(OSRRefT22_7x_0)</f>
        <v>80</v>
      </c>
      <c r="U51" s="1"/>
      <c r="V51" s="5">
        <f t="shared" si="25"/>
        <v>3.6280685523552966E-4</v>
      </c>
      <c r="W51" s="1"/>
      <c r="X51" s="1">
        <f t="shared" si="26"/>
        <v>-1.1400000000000006</v>
      </c>
      <c r="Y51" s="1"/>
      <c r="Z51" s="5">
        <f t="shared" si="27"/>
        <v>-1.4250000000000007E-2</v>
      </c>
    </row>
    <row r="52" spans="1:26" s="24" customFormat="1" hidden="1" outlineLevel="2" x14ac:dyDescent="0.3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39.43</v>
      </c>
      <c r="E52" s="2"/>
      <c r="F52" s="7">
        <f t="shared" si="20"/>
        <v>4.3715422907635509E-4</v>
      </c>
      <c r="G52" s="2"/>
      <c r="H52" s="6">
        <v>40</v>
      </c>
      <c r="I52" s="2"/>
      <c r="J52" s="7">
        <f t="shared" si="21"/>
        <v>2.2404445041896313E-4</v>
      </c>
      <c r="K52" s="2"/>
      <c r="L52" s="6">
        <f t="shared" si="22"/>
        <v>-0.57000000000000028</v>
      </c>
      <c r="M52" s="2"/>
      <c r="N52" s="7">
        <f t="shared" si="23"/>
        <v>-1.4250000000000007E-2</v>
      </c>
      <c r="O52" s="11"/>
      <c r="P52" s="6">
        <v>78.86</v>
      </c>
      <c r="Q52" s="2"/>
      <c r="R52" s="7">
        <f t="shared" si="24"/>
        <v>3.3436222715940505E-4</v>
      </c>
      <c r="S52" s="2"/>
      <c r="T52" s="6">
        <v>80</v>
      </c>
      <c r="U52" s="2"/>
      <c r="V52" s="7">
        <f t="shared" si="25"/>
        <v>3.6280685523552966E-4</v>
      </c>
      <c r="W52" s="2"/>
      <c r="X52" s="6">
        <f t="shared" si="26"/>
        <v>-1.1400000000000006</v>
      </c>
      <c r="Y52" s="2"/>
      <c r="Z52" s="7">
        <f t="shared" si="27"/>
        <v>-1.4250000000000007E-2</v>
      </c>
    </row>
    <row r="53" spans="1:26" s="28" customFormat="1" outlineLevel="1" collapsed="1" x14ac:dyDescent="0.3">
      <c r="A53" s="29"/>
      <c r="B53" s="14" t="str">
        <f>CONCATENATE("     ","Rent                                              ")</f>
        <v xml:space="preserve">     Rent                                              </v>
      </c>
      <c r="C53" s="14"/>
      <c r="D53" s="1">
        <f>SUM(OSRRefD22_8x_0)</f>
        <v>800</v>
      </c>
      <c r="E53" s="1"/>
      <c r="F53" s="5">
        <f t="shared" si="20"/>
        <v>8.8694745944987077E-3</v>
      </c>
      <c r="G53" s="1"/>
      <c r="H53" s="1">
        <f>SUM(OSRRefH22_8x_0)</f>
        <v>800</v>
      </c>
      <c r="I53" s="1"/>
      <c r="J53" s="5">
        <f t="shared" si="21"/>
        <v>4.4808890083792626E-3</v>
      </c>
      <c r="K53" s="1"/>
      <c r="L53" s="1">
        <f t="shared" si="22"/>
        <v>0</v>
      </c>
      <c r="M53" s="1"/>
      <c r="N53" s="5">
        <f t="shared" si="23"/>
        <v>0</v>
      </c>
      <c r="O53" s="14"/>
      <c r="P53" s="1">
        <f>SUM(OSRRefP22_8x_0)</f>
        <v>1600</v>
      </c>
      <c r="Q53" s="1"/>
      <c r="R53" s="5">
        <f t="shared" si="24"/>
        <v>6.7839153367365975E-3</v>
      </c>
      <c r="S53" s="1"/>
      <c r="T53" s="1">
        <f>SUM(OSRRefT22_8x_0)</f>
        <v>1600</v>
      </c>
      <c r="U53" s="1"/>
      <c r="V53" s="5">
        <f t="shared" si="25"/>
        <v>7.2561371047105937E-3</v>
      </c>
      <c r="W53" s="1"/>
      <c r="X53" s="1">
        <f t="shared" si="26"/>
        <v>0</v>
      </c>
      <c r="Y53" s="1"/>
      <c r="Z53" s="5">
        <f t="shared" si="27"/>
        <v>0</v>
      </c>
    </row>
    <row r="54" spans="1:26" s="24" customFormat="1" hidden="1" outlineLevel="2" x14ac:dyDescent="0.3">
      <c r="A54" s="27"/>
      <c r="B54" s="11" t="str">
        <f>CONCATENATE("          ", "6273", " - ", "RENT")</f>
        <v xml:space="preserve">          6273 - RENT</v>
      </c>
      <c r="C54" s="11"/>
      <c r="D54" s="6">
        <v>800</v>
      </c>
      <c r="E54" s="2"/>
      <c r="F54" s="7">
        <f t="shared" si="20"/>
        <v>8.8694745944987077E-3</v>
      </c>
      <c r="G54" s="2"/>
      <c r="H54" s="6">
        <v>800</v>
      </c>
      <c r="I54" s="2"/>
      <c r="J54" s="7">
        <f t="shared" si="21"/>
        <v>4.4808890083792626E-3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>
        <v>1600</v>
      </c>
      <c r="Q54" s="2"/>
      <c r="R54" s="7">
        <f t="shared" si="24"/>
        <v>6.7839153367365975E-3</v>
      </c>
      <c r="S54" s="2"/>
      <c r="T54" s="6">
        <v>1600</v>
      </c>
      <c r="U54" s="2"/>
      <c r="V54" s="7">
        <f t="shared" si="25"/>
        <v>7.2561371047105937E-3</v>
      </c>
      <c r="W54" s="2"/>
      <c r="X54" s="6">
        <f t="shared" si="26"/>
        <v>0</v>
      </c>
      <c r="Y54" s="2"/>
      <c r="Z54" s="7">
        <f t="shared" si="27"/>
        <v>0</v>
      </c>
    </row>
    <row r="55" spans="1:26" s="28" customFormat="1" outlineLevel="1" collapsed="1" x14ac:dyDescent="0.3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0</v>
      </c>
      <c r="E55" s="1"/>
      <c r="F55" s="5">
        <f t="shared" si="20"/>
        <v>0</v>
      </c>
      <c r="G55" s="1"/>
      <c r="H55" s="1">
        <f>SUM(OSRRefH22_9x_0)</f>
        <v>128200</v>
      </c>
      <c r="I55" s="1"/>
      <c r="J55" s="5">
        <f t="shared" si="21"/>
        <v>0.71806246359277681</v>
      </c>
      <c r="K55" s="1"/>
      <c r="L55" s="1">
        <f t="shared" si="22"/>
        <v>-128200</v>
      </c>
      <c r="M55" s="1"/>
      <c r="N55" s="5">
        <f t="shared" si="23"/>
        <v>-1</v>
      </c>
      <c r="O55" s="14"/>
      <c r="P55" s="1">
        <f>SUM(OSRRefP22_9x_0)</f>
        <v>122000.62</v>
      </c>
      <c r="Q55" s="1"/>
      <c r="R55" s="5">
        <f t="shared" si="24"/>
        <v>0.5172761731933585</v>
      </c>
      <c r="S55" s="1"/>
      <c r="T55" s="1">
        <f>SUM(OSRRefT22_9x_0)</f>
        <v>131400</v>
      </c>
      <c r="U55" s="1"/>
      <c r="V55" s="5">
        <f t="shared" si="25"/>
        <v>0.59591025972435752</v>
      </c>
      <c r="W55" s="1"/>
      <c r="X55" s="1">
        <f t="shared" si="26"/>
        <v>-9399.3800000000047</v>
      </c>
      <c r="Y55" s="1"/>
      <c r="Z55" s="5">
        <f t="shared" si="27"/>
        <v>-7.1532572298325756E-2</v>
      </c>
    </row>
    <row r="56" spans="1:26" s="24" customFormat="1" hidden="1" outlineLevel="2" x14ac:dyDescent="0.3">
      <c r="A56" s="27"/>
      <c r="B56" s="11" t="str">
        <f>CONCATENATE("          ", "6371", " - ", "COMPUTER SOFTWARE MAINTENANCE")</f>
        <v xml:space="preserve">          6371 - COMPUTER SOFTWARE MAINTENANCE</v>
      </c>
      <c r="C56" s="11"/>
      <c r="D56" s="6"/>
      <c r="E56" s="2"/>
      <c r="F56" s="7">
        <f t="shared" si="20"/>
        <v>0</v>
      </c>
      <c r="G56" s="2"/>
      <c r="H56" s="6">
        <v>125000</v>
      </c>
      <c r="I56" s="2"/>
      <c r="J56" s="7">
        <f t="shared" si="21"/>
        <v>0.70013890755925978</v>
      </c>
      <c r="K56" s="2"/>
      <c r="L56" s="6">
        <f t="shared" si="22"/>
        <v>-125000</v>
      </c>
      <c r="M56" s="2"/>
      <c r="N56" s="7">
        <f t="shared" si="23"/>
        <v>-1</v>
      </c>
      <c r="O56" s="11"/>
      <c r="P56" s="6"/>
      <c r="Q56" s="2"/>
      <c r="R56" s="7">
        <f t="shared" si="24"/>
        <v>0</v>
      </c>
      <c r="S56" s="2"/>
      <c r="T56" s="6">
        <v>125000</v>
      </c>
      <c r="U56" s="2"/>
      <c r="V56" s="7">
        <f t="shared" si="25"/>
        <v>0.56688571130551513</v>
      </c>
      <c r="W56" s="2"/>
      <c r="X56" s="6">
        <f t="shared" si="26"/>
        <v>-125000</v>
      </c>
      <c r="Y56" s="2"/>
      <c r="Z56" s="7">
        <f t="shared" si="27"/>
        <v>-1</v>
      </c>
    </row>
    <row r="57" spans="1:26" s="24" customFormat="1" hidden="1" outlineLevel="2" x14ac:dyDescent="0.3">
      <c r="A57" s="27"/>
      <c r="B57" s="11" t="str">
        <f>CONCATENATE("          ", "6372", " - ", "COMPUTER HARDWARE MAINTENANCE")</f>
        <v xml:space="preserve">          6372 - COMPUTER HARDWARE MAINTENANCE</v>
      </c>
      <c r="C57" s="11"/>
      <c r="D57" s="6"/>
      <c r="E57" s="2"/>
      <c r="F57" s="7">
        <f t="shared" si="20"/>
        <v>0</v>
      </c>
      <c r="G57" s="2"/>
      <c r="H57" s="6">
        <v>3200</v>
      </c>
      <c r="I57" s="2"/>
      <c r="J57" s="7">
        <f t="shared" si="21"/>
        <v>1.792355603351705E-2</v>
      </c>
      <c r="K57" s="2"/>
      <c r="L57" s="6">
        <f t="shared" si="22"/>
        <v>-3200</v>
      </c>
      <c r="M57" s="2"/>
      <c r="N57" s="7">
        <f t="shared" si="23"/>
        <v>-1</v>
      </c>
      <c r="O57" s="11"/>
      <c r="P57" s="6"/>
      <c r="Q57" s="2"/>
      <c r="R57" s="7">
        <f t="shared" si="24"/>
        <v>0</v>
      </c>
      <c r="S57" s="2"/>
      <c r="T57" s="6">
        <v>6400</v>
      </c>
      <c r="U57" s="2"/>
      <c r="V57" s="7">
        <f t="shared" si="25"/>
        <v>2.9024548418842375E-2</v>
      </c>
      <c r="W57" s="2"/>
      <c r="X57" s="6">
        <f t="shared" si="26"/>
        <v>-6400</v>
      </c>
      <c r="Y57" s="2"/>
      <c r="Z57" s="7">
        <f t="shared" si="27"/>
        <v>-1</v>
      </c>
    </row>
    <row r="58" spans="1:26" s="24" customFormat="1" hidden="1" outlineLevel="2" x14ac:dyDescent="0.3">
      <c r="A58" s="27"/>
      <c r="B58" s="11" t="str">
        <f>CONCATENATE("          ", "6373", " - ", "MAINTENANCE CONTRACTS")</f>
        <v xml:space="preserve">          6373 - MAINTENANCE CONTRACTS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122000.62</v>
      </c>
      <c r="Q58" s="2"/>
      <c r="R58" s="7">
        <f t="shared" si="24"/>
        <v>0.5172761731933585</v>
      </c>
      <c r="S58" s="2"/>
      <c r="T58" s="6"/>
      <c r="U58" s="2"/>
      <c r="V58" s="7">
        <f t="shared" si="25"/>
        <v>0</v>
      </c>
      <c r="W58" s="2"/>
      <c r="X58" s="6">
        <f t="shared" si="26"/>
        <v>122000.62</v>
      </c>
      <c r="Y58" s="2"/>
      <c r="Z58" s="7">
        <f t="shared" si="27"/>
        <v>0</v>
      </c>
    </row>
    <row r="59" spans="1:26" s="28" customFormat="1" outlineLevel="1" collapsed="1" x14ac:dyDescent="0.3">
      <c r="A59" s="29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SUM(OSRRefD22_10x_0)</f>
        <v>0</v>
      </c>
      <c r="E59" s="1"/>
      <c r="F59" s="5">
        <f t="shared" ref="F59:F63" si="28">IF(D$12=0,0,D59/D$12)</f>
        <v>0</v>
      </c>
      <c r="G59" s="1"/>
      <c r="H59" s="1">
        <f>SUM(OSRRefH22_10x_0)</f>
        <v>85</v>
      </c>
      <c r="I59" s="1"/>
      <c r="J59" s="5">
        <f t="shared" ref="J59:J63" si="29">IF(H$12=0,0,H59/H$12)</f>
        <v>4.7609445714029663E-4</v>
      </c>
      <c r="K59" s="1"/>
      <c r="L59" s="1">
        <f t="shared" ref="L59:L63" si="30">+D59-H59</f>
        <v>-85</v>
      </c>
      <c r="M59" s="1"/>
      <c r="N59" s="5">
        <f t="shared" ref="N59:N63" si="31">IF(H59=0,0,L59/H59)</f>
        <v>-1</v>
      </c>
      <c r="O59" s="14"/>
      <c r="P59" s="1">
        <f>SUM(OSRRefP22_10x_0)</f>
        <v>0</v>
      </c>
      <c r="Q59" s="1"/>
      <c r="R59" s="5">
        <f t="shared" ref="R59:R63" si="32">IF(P$12=0,0,P59/P$12)</f>
        <v>0</v>
      </c>
      <c r="S59" s="1"/>
      <c r="T59" s="1">
        <f>SUM(OSRRefT22_10x_0)</f>
        <v>170</v>
      </c>
      <c r="U59" s="1"/>
      <c r="V59" s="5">
        <f t="shared" ref="V59:V63" si="33">IF(T$12=0,0,T59/T$12)</f>
        <v>7.709645673755006E-4</v>
      </c>
      <c r="W59" s="1"/>
      <c r="X59" s="1">
        <f t="shared" ref="X59:X63" si="34">+P59-T59</f>
        <v>-170</v>
      </c>
      <c r="Y59" s="1"/>
      <c r="Z59" s="5">
        <f t="shared" ref="Z59:Z63" si="35">IF(T59=0,0,X59/T59)</f>
        <v>-1</v>
      </c>
    </row>
    <row r="60" spans="1:26" s="24" customFormat="1" hidden="1" outlineLevel="2" x14ac:dyDescent="0.3">
      <c r="A60" s="27"/>
      <c r="B60" s="11" t="str">
        <f>CONCATENATE("          ", "6258", " - ", "MEMBERSHIP DUES")</f>
        <v xml:space="preserve">          6258 - MEMBERSHIP DUES</v>
      </c>
      <c r="C60" s="11"/>
      <c r="D60" s="6"/>
      <c r="E60" s="2"/>
      <c r="F60" s="7">
        <f t="shared" si="28"/>
        <v>0</v>
      </c>
      <c r="G60" s="2"/>
      <c r="H60" s="6">
        <v>85</v>
      </c>
      <c r="I60" s="2"/>
      <c r="J60" s="7">
        <f t="shared" si="29"/>
        <v>4.7609445714029663E-4</v>
      </c>
      <c r="K60" s="2"/>
      <c r="L60" s="6">
        <f t="shared" si="30"/>
        <v>-85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170</v>
      </c>
      <c r="U60" s="2"/>
      <c r="V60" s="7">
        <f t="shared" si="33"/>
        <v>7.709645673755006E-4</v>
      </c>
      <c r="W60" s="2"/>
      <c r="X60" s="6">
        <f t="shared" si="34"/>
        <v>-170</v>
      </c>
      <c r="Y60" s="2"/>
      <c r="Z60" s="7">
        <f t="shared" si="35"/>
        <v>-1</v>
      </c>
    </row>
    <row r="61" spans="1:26" s="28" customFormat="1" outlineLevel="1" collapsed="1" x14ac:dyDescent="0.3">
      <c r="A61" s="29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SUM(OSRRefD22_11x_0)</f>
        <v>1601.24</v>
      </c>
      <c r="E61" s="1"/>
      <c r="F61" s="5">
        <f t="shared" si="28"/>
        <v>1.775269687461889E-2</v>
      </c>
      <c r="G61" s="1"/>
      <c r="H61" s="1">
        <f>SUM(OSRRefH22_11x_0)</f>
        <v>5800</v>
      </c>
      <c r="I61" s="1"/>
      <c r="J61" s="5">
        <f t="shared" si="29"/>
        <v>3.2486445310749651E-2</v>
      </c>
      <c r="K61" s="1"/>
      <c r="L61" s="1">
        <f t="shared" si="30"/>
        <v>-4198.76</v>
      </c>
      <c r="M61" s="1"/>
      <c r="N61" s="5">
        <f t="shared" si="31"/>
        <v>-0.72392413793103449</v>
      </c>
      <c r="O61" s="14"/>
      <c r="P61" s="1">
        <f>SUM(OSRRefP22_11x_0)</f>
        <v>1957.95</v>
      </c>
      <c r="Q61" s="1"/>
      <c r="R61" s="5">
        <f t="shared" si="32"/>
        <v>8.3016043959771389E-3</v>
      </c>
      <c r="S61" s="1"/>
      <c r="T61" s="1">
        <f>SUM(OSRRefT22_11x_0)</f>
        <v>11600</v>
      </c>
      <c r="U61" s="1"/>
      <c r="V61" s="5">
        <f t="shared" si="33"/>
        <v>5.2606994009151802E-2</v>
      </c>
      <c r="W61" s="1"/>
      <c r="X61" s="1">
        <f t="shared" si="34"/>
        <v>-9642.0499999999993</v>
      </c>
      <c r="Y61" s="1"/>
      <c r="Z61" s="5">
        <f t="shared" si="35"/>
        <v>-0.8312112068965517</v>
      </c>
    </row>
    <row r="62" spans="1:26" s="24" customFormat="1" hidden="1" outlineLevel="2" x14ac:dyDescent="0.3">
      <c r="A62" s="27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28"/>
        <v>0</v>
      </c>
      <c r="G62" s="2"/>
      <c r="H62" s="6">
        <v>5800</v>
      </c>
      <c r="I62" s="2"/>
      <c r="J62" s="7">
        <f t="shared" si="29"/>
        <v>3.2486445310749651E-2</v>
      </c>
      <c r="K62" s="2"/>
      <c r="L62" s="6">
        <f t="shared" si="30"/>
        <v>-5800</v>
      </c>
      <c r="M62" s="2"/>
      <c r="N62" s="7">
        <f t="shared" si="31"/>
        <v>-1</v>
      </c>
      <c r="O62" s="11"/>
      <c r="P62" s="6"/>
      <c r="Q62" s="2"/>
      <c r="R62" s="7">
        <f t="shared" si="32"/>
        <v>0</v>
      </c>
      <c r="S62" s="2"/>
      <c r="T62" s="6">
        <v>11600</v>
      </c>
      <c r="U62" s="2"/>
      <c r="V62" s="7">
        <f t="shared" si="33"/>
        <v>5.2606994009151802E-2</v>
      </c>
      <c r="W62" s="2"/>
      <c r="X62" s="6">
        <f t="shared" si="34"/>
        <v>-11600</v>
      </c>
      <c r="Y62" s="2"/>
      <c r="Z62" s="7">
        <f t="shared" si="35"/>
        <v>-1</v>
      </c>
    </row>
    <row r="63" spans="1:26" s="24" customFormat="1" hidden="1" outlineLevel="2" x14ac:dyDescent="0.3">
      <c r="A63" s="27"/>
      <c r="B63" s="11" t="str">
        <f>CONCATENATE("          ", "6241", " - ", "OFFICE EXPENSE")</f>
        <v xml:space="preserve">          6241 - OFFICE EXPENSE</v>
      </c>
      <c r="C63" s="11"/>
      <c r="D63" s="6">
        <v>1601.24</v>
      </c>
      <c r="E63" s="2"/>
      <c r="F63" s="7">
        <f t="shared" si="28"/>
        <v>1.775269687461889E-2</v>
      </c>
      <c r="G63" s="2"/>
      <c r="H63" s="6"/>
      <c r="I63" s="2"/>
      <c r="J63" s="7">
        <f t="shared" si="29"/>
        <v>0</v>
      </c>
      <c r="K63" s="2"/>
      <c r="L63" s="6">
        <f t="shared" si="30"/>
        <v>1601.24</v>
      </c>
      <c r="M63" s="2"/>
      <c r="N63" s="7">
        <f t="shared" si="31"/>
        <v>0</v>
      </c>
      <c r="O63" s="11"/>
      <c r="P63" s="6">
        <v>1957.95</v>
      </c>
      <c r="Q63" s="2"/>
      <c r="R63" s="7">
        <f t="shared" si="32"/>
        <v>8.3016043959771389E-3</v>
      </c>
      <c r="S63" s="2"/>
      <c r="T63" s="6"/>
      <c r="U63" s="2"/>
      <c r="V63" s="7">
        <f t="shared" si="33"/>
        <v>0</v>
      </c>
      <c r="W63" s="2"/>
      <c r="X63" s="6">
        <f t="shared" si="34"/>
        <v>1957.95</v>
      </c>
      <c r="Y63" s="2"/>
      <c r="Z63" s="7">
        <f t="shared" si="35"/>
        <v>0</v>
      </c>
    </row>
    <row r="64" spans="1:26" s="28" customFormat="1" outlineLevel="1" collapsed="1" x14ac:dyDescent="0.3">
      <c r="A64" s="29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SUM(OSRRefD22_12x_0)</f>
        <v>86.95</v>
      </c>
      <c r="E64" s="1"/>
      <c r="F64" s="5">
        <f t="shared" ref="F64:F65" si="36">IF(D$12=0,0,D64/D$12)</f>
        <v>9.6400101998957838E-4</v>
      </c>
      <c r="G64" s="1"/>
      <c r="H64" s="1">
        <f>SUM(OSRRefH22_12x_0)</f>
        <v>350</v>
      </c>
      <c r="I64" s="1"/>
      <c r="J64" s="5">
        <f t="shared" ref="J64:J65" si="37">IF(H$12=0,0,H64/H$12)</f>
        <v>1.9603889411659273E-3</v>
      </c>
      <c r="K64" s="1"/>
      <c r="L64" s="1">
        <f t="shared" ref="L64:L65" si="38">+D64-H64</f>
        <v>-263.05</v>
      </c>
      <c r="M64" s="1"/>
      <c r="N64" s="5">
        <f t="shared" ref="N64:N65" si="39">IF(H64=0,0,L64/H64)</f>
        <v>-0.75157142857142856</v>
      </c>
      <c r="O64" s="14"/>
      <c r="P64" s="1">
        <f>SUM(OSRRefP22_12x_0)</f>
        <v>-163.30000000000001</v>
      </c>
      <c r="Q64" s="1"/>
      <c r="R64" s="5">
        <f t="shared" ref="R64:R65" si="40">IF(P$12=0,0,P64/P$12)</f>
        <v>-6.9238335905567904E-4</v>
      </c>
      <c r="S64" s="1"/>
      <c r="T64" s="1">
        <f>SUM(OSRRefT22_12x_0)</f>
        <v>700</v>
      </c>
      <c r="U64" s="1"/>
      <c r="V64" s="5">
        <f t="shared" ref="V64:V65" si="41">IF(T$12=0,0,T64/T$12)</f>
        <v>3.1745599833108845E-3</v>
      </c>
      <c r="W64" s="1"/>
      <c r="X64" s="1">
        <f t="shared" ref="X64:X65" si="42">+P64-T64</f>
        <v>-863.3</v>
      </c>
      <c r="Y64" s="1"/>
      <c r="Z64" s="5">
        <f t="shared" ref="Z64:Z65" si="43">IF(T64=0,0,X64/T64)</f>
        <v>-1.2332857142857143</v>
      </c>
    </row>
    <row r="65" spans="1:26" s="24" customFormat="1" hidden="1" outlineLevel="2" x14ac:dyDescent="0.3">
      <c r="A65" s="27"/>
      <c r="B65" s="11" t="str">
        <f>CONCATENATE("          ", "6309", " - ", "TELEPHONE")</f>
        <v xml:space="preserve">          6309 - TELEPHONE</v>
      </c>
      <c r="C65" s="11"/>
      <c r="D65" s="6">
        <v>86.95</v>
      </c>
      <c r="E65" s="2"/>
      <c r="F65" s="7">
        <f t="shared" si="36"/>
        <v>9.6400101998957838E-4</v>
      </c>
      <c r="G65" s="2"/>
      <c r="H65" s="6">
        <v>350</v>
      </c>
      <c r="I65" s="2"/>
      <c r="J65" s="7">
        <f t="shared" si="37"/>
        <v>1.9603889411659273E-3</v>
      </c>
      <c r="K65" s="2"/>
      <c r="L65" s="6">
        <f t="shared" si="38"/>
        <v>-263.05</v>
      </c>
      <c r="M65" s="2"/>
      <c r="N65" s="7">
        <f t="shared" si="39"/>
        <v>-0.75157142857142856</v>
      </c>
      <c r="O65" s="11"/>
      <c r="P65" s="6">
        <v>-163.30000000000001</v>
      </c>
      <c r="Q65" s="2"/>
      <c r="R65" s="7">
        <f t="shared" si="40"/>
        <v>-6.9238335905567904E-4</v>
      </c>
      <c r="S65" s="2"/>
      <c r="T65" s="6">
        <v>700</v>
      </c>
      <c r="U65" s="2"/>
      <c r="V65" s="7">
        <f t="shared" si="41"/>
        <v>3.1745599833108845E-3</v>
      </c>
      <c r="W65" s="2"/>
      <c r="X65" s="6">
        <f t="shared" si="42"/>
        <v>-863.3</v>
      </c>
      <c r="Y65" s="2"/>
      <c r="Z65" s="7">
        <f t="shared" si="43"/>
        <v>-1.2332857142857143</v>
      </c>
    </row>
    <row r="66" spans="1:26" s="53" customFormat="1" x14ac:dyDescent="0.3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3">
      <c r="A67" s="10"/>
      <c r="B67" s="25" t="s">
        <v>293</v>
      </c>
      <c r="C67" s="10"/>
      <c r="D67" s="4">
        <f>SUM(OSRRefD25x_0)</f>
        <v>1456.68</v>
      </c>
      <c r="E67" s="4"/>
      <c r="F67" s="12">
        <f t="shared" ref="F67:F68" si="44">IF(D$12=0,0,D67/D$12)</f>
        <v>1.6149982815392976E-2</v>
      </c>
      <c r="G67" s="4"/>
      <c r="H67" s="4">
        <f>SUM(OSRRefH25x_0)</f>
        <v>2400</v>
      </c>
      <c r="I67" s="4"/>
      <c r="J67" s="12">
        <f t="shared" ref="J67:J68" si="45">IF(H$12=0,0,H67/H$12)</f>
        <v>1.3442667025137788E-2</v>
      </c>
      <c r="K67" s="4"/>
      <c r="L67" s="4">
        <f t="shared" ref="L67:L68" si="46">+D67-H67</f>
        <v>-943.31999999999994</v>
      </c>
      <c r="M67" s="4"/>
      <c r="N67" s="12">
        <f t="shared" ref="N67:N68" si="47">IF(H67=0,0,L67/H67)</f>
        <v>-0.39304999999999995</v>
      </c>
      <c r="O67" s="10"/>
      <c r="P67" s="4">
        <f>SUM(OSRRefP25x_0)</f>
        <v>1564.84</v>
      </c>
      <c r="Q67" s="4"/>
      <c r="R67" s="12">
        <f t="shared" ref="R67:R68" si="48">IF(P$12=0,0,P67/P$12)</f>
        <v>6.6348387972118101E-3</v>
      </c>
      <c r="S67" s="4"/>
      <c r="T67" s="4">
        <f>SUM(OSRRefT25x_0)</f>
        <v>4800</v>
      </c>
      <c r="U67" s="4"/>
      <c r="V67" s="12">
        <f t="shared" ref="V67:V68" si="49">IF(T$12=0,0,T67/T$12)</f>
        <v>2.1768411314131781E-2</v>
      </c>
      <c r="W67" s="4"/>
      <c r="X67" s="4">
        <f t="shared" ref="X67:X68" si="50">+P67-T67</f>
        <v>-3235.16</v>
      </c>
      <c r="Y67" s="4"/>
      <c r="Z67" s="12">
        <f t="shared" ref="Z67:Z68" si="51">IF(T67=0,0,X67/T67)</f>
        <v>-0.67399166666666666</v>
      </c>
    </row>
    <row r="68" spans="1:26" s="24" customFormat="1" hidden="1" outlineLevel="1" x14ac:dyDescent="0.3">
      <c r="A68" s="44"/>
      <c r="B68" s="11" t="str">
        <f>CONCATENATE("          ", "9150", " - ", "MISC. INCOME")</f>
        <v xml:space="preserve">          9150 - MISC. INCOME</v>
      </c>
      <c r="C68" s="11"/>
      <c r="D68" s="2">
        <f>--1456.68</f>
        <v>1456.68</v>
      </c>
      <c r="E68" s="2"/>
      <c r="F68" s="19">
        <f t="shared" si="44"/>
        <v>1.6149982815392976E-2</v>
      </c>
      <c r="G68" s="2"/>
      <c r="H68" s="2">
        <v>2400</v>
      </c>
      <c r="I68" s="2"/>
      <c r="J68" s="19">
        <f t="shared" si="45"/>
        <v>1.3442667025137788E-2</v>
      </c>
      <c r="K68" s="2"/>
      <c r="L68" s="2">
        <f t="shared" si="46"/>
        <v>-943.31999999999994</v>
      </c>
      <c r="M68" s="2"/>
      <c r="N68" s="19">
        <f t="shared" si="47"/>
        <v>-0.39304999999999995</v>
      </c>
      <c r="O68" s="11"/>
      <c r="P68" s="2">
        <f>--1564.84</f>
        <v>1564.84</v>
      </c>
      <c r="Q68" s="2"/>
      <c r="R68" s="19">
        <f t="shared" si="48"/>
        <v>6.6348387972118101E-3</v>
      </c>
      <c r="S68" s="2"/>
      <c r="T68" s="2">
        <v>4800</v>
      </c>
      <c r="U68" s="2"/>
      <c r="V68" s="19">
        <f t="shared" si="49"/>
        <v>2.1768411314131781E-2</v>
      </c>
      <c r="W68" s="2"/>
      <c r="X68" s="2">
        <f t="shared" si="50"/>
        <v>-3235.16</v>
      </c>
      <c r="Y68" s="2"/>
      <c r="Z68" s="19">
        <f t="shared" si="51"/>
        <v>-0.67399166666666666</v>
      </c>
    </row>
    <row r="69" spans="1:26" x14ac:dyDescent="0.3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3">
      <c r="A70" s="10"/>
      <c r="B70" s="26" t="s">
        <v>277</v>
      </c>
      <c r="C70" s="26"/>
      <c r="D70" s="21">
        <f>+D17-D19+D67</f>
        <v>67291.799999999988</v>
      </c>
      <c r="E70" s="13"/>
      <c r="F70" s="20">
        <f>IF(D$12=0,0,D70/D$12)</f>
        <v>0.74605363814761005</v>
      </c>
      <c r="G70" s="13"/>
      <c r="H70" s="21">
        <f>+H17-H19+H67</f>
        <v>18247.083795822313</v>
      </c>
      <c r="I70" s="13"/>
      <c r="J70" s="20">
        <f>IF(H$12=0,0,H70/H$12)</f>
        <v>0.10220394651959444</v>
      </c>
      <c r="K70" s="16"/>
      <c r="L70" s="21">
        <f>+D70-H70</f>
        <v>49044.716204177676</v>
      </c>
      <c r="M70" s="16"/>
      <c r="N70" s="20">
        <f>IF(H70=0,0,L70/H70)</f>
        <v>2.687811200571486</v>
      </c>
      <c r="O70" s="25"/>
      <c r="P70" s="21">
        <f>+P17-P19+P67</f>
        <v>67291.939999999973</v>
      </c>
      <c r="Q70" s="13"/>
      <c r="R70" s="20">
        <f>IF(P$12=0,0,P70/P$12)</f>
        <v>0.28531426487797423</v>
      </c>
      <c r="S70" s="13"/>
      <c r="T70" s="21">
        <f>+T17-T19+T67</f>
        <v>22536.003934350214</v>
      </c>
      <c r="U70" s="13"/>
      <c r="V70" s="20">
        <f>IF(T$12=0,0,T70/T$12)</f>
        <v>0.10220270896246407</v>
      </c>
      <c r="W70" s="16"/>
      <c r="X70" s="21">
        <f>+P70-T70</f>
        <v>44755.936065649759</v>
      </c>
      <c r="Y70" s="16"/>
      <c r="Z70" s="20">
        <f>IF(T70=0,0,X70/T70)</f>
        <v>1.9859748070699925</v>
      </c>
    </row>
    <row r="71" spans="1:26" x14ac:dyDescent="0.3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">
      <c r="A72" s="52"/>
      <c r="B72" s="10" t="s">
        <v>128</v>
      </c>
      <c r="C72" s="10"/>
      <c r="D72" s="4">
        <v>-32047.93</v>
      </c>
      <c r="E72" s="4"/>
      <c r="F72" s="12">
        <f>IF(D$12=0,0,D72/D$12)</f>
        <v>-0.35531037617659122</v>
      </c>
      <c r="G72" s="4"/>
      <c r="H72" s="4">
        <v>9497</v>
      </c>
      <c r="I72" s="4"/>
      <c r="J72" s="12">
        <f>IF(H$12=0,0,H72/H$12)</f>
        <v>5.3193753640722319E-2</v>
      </c>
      <c r="K72" s="4"/>
      <c r="L72" s="4">
        <f>+D72-H72</f>
        <v>-41544.93</v>
      </c>
      <c r="M72" s="4"/>
      <c r="N72" s="12">
        <f>IF(H72=0,0,L72/H72)</f>
        <v>-4.3745319574602508</v>
      </c>
      <c r="O72" s="10"/>
      <c r="P72" s="4">
        <v>35244.080000000002</v>
      </c>
      <c r="Q72" s="4"/>
      <c r="R72" s="12">
        <f>IF(P$12=0,0,P72/P$12)</f>
        <v>0.14943303427573223</v>
      </c>
      <c r="S72" s="4"/>
      <c r="T72" s="4">
        <v>24695</v>
      </c>
      <c r="U72" s="4"/>
      <c r="V72" s="12">
        <f>IF(T$12=0,0,T72/T$12)</f>
        <v>0.11199394112551757</v>
      </c>
      <c r="W72" s="4"/>
      <c r="X72" s="4">
        <f>+P72-T72</f>
        <v>10549.080000000002</v>
      </c>
      <c r="Y72" s="4"/>
      <c r="Z72" s="12">
        <f>IF(T72=0,0,X72/T72)</f>
        <v>0.42717473172707032</v>
      </c>
    </row>
    <row r="73" spans="1:26" x14ac:dyDescent="0.3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35">
      <c r="A74" s="10"/>
      <c r="B74" s="26" t="s">
        <v>126</v>
      </c>
      <c r="C74" s="26"/>
      <c r="D74" s="30">
        <f>+D70-D72</f>
        <v>99339.729999999981</v>
      </c>
      <c r="E74" s="13"/>
      <c r="F74" s="35">
        <f>IF(D$12=0,0,D74/D$12)</f>
        <v>1.1013640143242012</v>
      </c>
      <c r="G74" s="13"/>
      <c r="H74" s="30">
        <f>+H70-H72</f>
        <v>8750.0837958223128</v>
      </c>
      <c r="I74" s="13"/>
      <c r="J74" s="35">
        <f>IF(H$12=0,0,H74/H$12)</f>
        <v>4.9010192878872122E-2</v>
      </c>
      <c r="K74" s="16"/>
      <c r="L74" s="30">
        <f>D74-H74</f>
        <v>90589.646204177669</v>
      </c>
      <c r="M74" s="16"/>
      <c r="N74" s="35">
        <f>IF(H74=0,0,L74/H74)</f>
        <v>10.353003276086255</v>
      </c>
      <c r="O74" s="25"/>
      <c r="P74" s="30">
        <f>+P70-P72</f>
        <v>32047.859999999971</v>
      </c>
      <c r="Q74" s="13"/>
      <c r="R74" s="35">
        <f>IF(P$12=0,0,P74/P$12)</f>
        <v>0.13588123060224197</v>
      </c>
      <c r="S74" s="13"/>
      <c r="T74" s="30">
        <f>+T70-T72</f>
        <v>-2158.996065649786</v>
      </c>
      <c r="U74" s="13"/>
      <c r="V74" s="35">
        <f>IF(T$12=0,0,T74/T$12)</f>
        <v>-9.7912321630534999E-3</v>
      </c>
      <c r="W74" s="16"/>
      <c r="X74" s="30">
        <f>P74-T74</f>
        <v>34206.856065649758</v>
      </c>
      <c r="Y74" s="16"/>
      <c r="Z74" s="35">
        <f>IF(T74=0,0,X74/T74)</f>
        <v>-15.843871422412542</v>
      </c>
    </row>
    <row r="75" spans="1:26" ht="15" thickTop="1" x14ac:dyDescent="0.3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3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35">
      <c r="A77" s="10"/>
      <c r="B77" s="26" t="s">
        <v>294</v>
      </c>
      <c r="C77" s="26"/>
      <c r="D77" s="32">
        <f>SUM(D74:D76)</f>
        <v>99339.729999999981</v>
      </c>
      <c r="E77" s="13"/>
      <c r="F77" s="34">
        <f>IF(D$12=0,0,D77/D$12)</f>
        <v>1.1013640143242012</v>
      </c>
      <c r="G77" s="13"/>
      <c r="H77" s="32">
        <f>SUM(H74:H76)</f>
        <v>8750.0837958223128</v>
      </c>
      <c r="I77" s="13"/>
      <c r="J77" s="34">
        <f>IF(H$12=0,0,H77/H$12)</f>
        <v>4.9010192878872122E-2</v>
      </c>
      <c r="K77" s="16"/>
      <c r="L77" s="32">
        <f>+D77-H77</f>
        <v>90589.646204177669</v>
      </c>
      <c r="M77" s="16"/>
      <c r="N77" s="34">
        <f>IF(H77=0,0,L77/H77)</f>
        <v>10.353003276086255</v>
      </c>
      <c r="O77" s="25"/>
      <c r="P77" s="32">
        <f>SUM(P74:P76)</f>
        <v>32047.859999999971</v>
      </c>
      <c r="Q77" s="13"/>
      <c r="R77" s="34">
        <f>IF(P$12=0,0,P77/P$12)</f>
        <v>0.13588123060224197</v>
      </c>
      <c r="S77" s="13"/>
      <c r="T77" s="32">
        <f>SUM(T74:T76)</f>
        <v>-2158.996065649786</v>
      </c>
      <c r="U77" s="13"/>
      <c r="V77" s="34">
        <f>IF(T$12=0,0,T77/T$12)</f>
        <v>-9.7912321630534999E-3</v>
      </c>
      <c r="W77" s="16"/>
      <c r="X77" s="32">
        <f>+P77-T77</f>
        <v>34206.856065649758</v>
      </c>
      <c r="Y77" s="16"/>
      <c r="Z77" s="34">
        <f>IF(T77=0,0,X77/T77)</f>
        <v>-15.843871422412542</v>
      </c>
    </row>
    <row r="78" spans="1:26" ht="15" thickTop="1" x14ac:dyDescent="0.3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3">
      <c r="A79" s="9"/>
      <c r="B79" s="61">
        <v>44470.835486261574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3">
      <c r="A80" s="9"/>
      <c r="B80" s="58" t="s">
        <v>56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3">
      <c r="A81" s="9"/>
      <c r="B81" s="55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">
        <v>139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str">
        <f>CONCATENATE("Period ",RIGHT(202202,2),", ",2022)</f>
        <v>Period 02, 2022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4">
        <v>44436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str">
        <f>CONCATENATE("Department ","501", " - ", "ID Card Services")</f>
        <v>Department 501 - ID Card Services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90197</v>
      </c>
      <c r="E12" s="4"/>
      <c r="F12" s="12"/>
      <c r="G12" s="4"/>
      <c r="H12" s="4">
        <f>SUM(OSRRefH13x_0)</f>
        <v>178536</v>
      </c>
      <c r="I12" s="4"/>
      <c r="J12" s="12"/>
      <c r="K12" s="4"/>
      <c r="L12" s="4">
        <f t="shared" ref="L12:L13" si="0">+D12-H12</f>
        <v>-88339</v>
      </c>
      <c r="M12" s="4"/>
      <c r="N12" s="12">
        <f t="shared" ref="N12:N13" si="1">IF(H12=0,0,L12/H12)</f>
        <v>-0.49479656763901958</v>
      </c>
      <c r="O12" s="10"/>
      <c r="P12" s="4">
        <f>SUM(OSRRefP13x_0)</f>
        <v>235852</v>
      </c>
      <c r="Q12" s="4"/>
      <c r="R12" s="12"/>
      <c r="S12" s="4"/>
      <c r="T12" s="4">
        <f>SUM(OSRRefT13x_0)</f>
        <v>220503</v>
      </c>
      <c r="U12" s="4"/>
      <c r="V12" s="12"/>
      <c r="W12" s="4"/>
      <c r="X12" s="4">
        <f t="shared" ref="X12:X13" si="2">+P12-T12</f>
        <v>15349</v>
      </c>
      <c r="Y12" s="4"/>
      <c r="Z12" s="12">
        <f t="shared" ref="Z12:Z13" si="3">IF(T12=0,0,X12/T12)</f>
        <v>6.9609030262626811E-2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--90197</f>
        <v>90197</v>
      </c>
      <c r="E13" s="2"/>
      <c r="F13" s="19"/>
      <c r="G13" s="2"/>
      <c r="H13" s="2">
        <v>178536</v>
      </c>
      <c r="I13" s="2"/>
      <c r="J13" s="19"/>
      <c r="K13" s="2"/>
      <c r="L13" s="2">
        <f t="shared" si="0"/>
        <v>-88339</v>
      </c>
      <c r="M13" s="2"/>
      <c r="N13" s="19">
        <f t="shared" si="1"/>
        <v>-0.49479656763901958</v>
      </c>
      <c r="O13" s="11"/>
      <c r="P13" s="2">
        <f>--235852</f>
        <v>235852</v>
      </c>
      <c r="Q13" s="2"/>
      <c r="R13" s="19"/>
      <c r="S13" s="2"/>
      <c r="T13" s="2">
        <v>220503</v>
      </c>
      <c r="U13" s="2"/>
      <c r="V13" s="19"/>
      <c r="W13" s="2"/>
      <c r="X13" s="2">
        <f t="shared" si="2"/>
        <v>15349</v>
      </c>
      <c r="Y13" s="2"/>
      <c r="Z13" s="19">
        <f t="shared" si="3"/>
        <v>6.9609030262626811E-2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1">
        <f>D12-D15</f>
        <v>90197</v>
      </c>
      <c r="E17" s="13"/>
      <c r="F17" s="20">
        <f>IF(D$12=0,0,D17/D$12)</f>
        <v>1</v>
      </c>
      <c r="G17" s="13"/>
      <c r="H17" s="21">
        <f>H12-H15</f>
        <v>178536</v>
      </c>
      <c r="I17" s="13"/>
      <c r="J17" s="20">
        <f>IF(H$12=0,0,H17/H$12)</f>
        <v>1</v>
      </c>
      <c r="K17" s="16"/>
      <c r="L17" s="21">
        <f>+D17-H17</f>
        <v>-88339</v>
      </c>
      <c r="M17" s="16"/>
      <c r="N17" s="20">
        <f>IF(H17=0,0,L17/H17)</f>
        <v>-0.49479656763901958</v>
      </c>
      <c r="O17" s="25"/>
      <c r="P17" s="21">
        <f>P12-P15</f>
        <v>235852</v>
      </c>
      <c r="Q17" s="13"/>
      <c r="R17" s="20">
        <f>IF(P$12=0,0,P17/P$12)</f>
        <v>1</v>
      </c>
      <c r="S17" s="13"/>
      <c r="T17" s="21">
        <f>T12-T15</f>
        <v>220503</v>
      </c>
      <c r="U17" s="13"/>
      <c r="V17" s="20">
        <f>IF(T$12=0,0,T17/T$12)</f>
        <v>1</v>
      </c>
      <c r="W17" s="16"/>
      <c r="X17" s="21">
        <f>+P17-T17</f>
        <v>15349</v>
      </c>
      <c r="Y17" s="16"/>
      <c r="Z17" s="20">
        <f>IF(T17=0,0,X17/T17)</f>
        <v>6.9609030262626811E-2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2">
        <f>SUM(OSRRefD22x_0)</f>
        <v>24361.880000000005</v>
      </c>
      <c r="E19" s="22"/>
      <c r="F19" s="31">
        <f t="shared" ref="F19:F29" si="4">IF(D$12=0,0,D19/D$12)</f>
        <v>0.27009634466778282</v>
      </c>
      <c r="G19" s="22"/>
      <c r="H19" s="22">
        <f>SUM(OSRRefH22x_0)</f>
        <v>162688.91620417769</v>
      </c>
      <c r="I19" s="22"/>
      <c r="J19" s="31">
        <f t="shared" ref="J19:J29" si="5">IF(H$12=0,0,H19/H$12)</f>
        <v>0.91123872050554333</v>
      </c>
      <c r="K19" s="4"/>
      <c r="L19" s="22">
        <f t="shared" ref="L19:L29" si="6">+D19-H19</f>
        <v>-138327.03620417768</v>
      </c>
      <c r="M19" s="4"/>
      <c r="N19" s="31">
        <f t="shared" ref="N19:N29" si="7">IF(H19=0,0,L19/H19)</f>
        <v>-0.85025482639871186</v>
      </c>
      <c r="O19" s="10"/>
      <c r="P19" s="22">
        <f>SUM(OSRRefP22x_0)</f>
        <v>170124.90000000002</v>
      </c>
      <c r="Q19" s="22"/>
      <c r="R19" s="31">
        <f t="shared" ref="R19:R29" si="8">IF(P$12=0,0,P19/P$12)</f>
        <v>0.72132057391923754</v>
      </c>
      <c r="S19" s="22"/>
      <c r="T19" s="22">
        <f>SUM(OSRRefT22x_0)</f>
        <v>202766.99606564979</v>
      </c>
      <c r="U19" s="22"/>
      <c r="V19" s="31">
        <f t="shared" ref="V19:V29" si="9">IF(T$12=0,0,T19/T$12)</f>
        <v>0.91956570235166768</v>
      </c>
      <c r="W19" s="4"/>
      <c r="X19" s="22">
        <f t="shared" ref="X19:X29" si="10">+P19-T19</f>
        <v>-32642.096065649763</v>
      </c>
      <c r="Y19" s="4"/>
      <c r="Z19" s="31">
        <f t="shared" ref="Z19:Z29" si="11">IF(T19=0,0,X19/T19)</f>
        <v>-0.16098327981877902</v>
      </c>
    </row>
    <row r="20" spans="1:26" s="28" customFormat="1" outlineLevel="1" collapsed="1" x14ac:dyDescent="0.3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3864.37</v>
      </c>
      <c r="E20" s="1"/>
      <c r="F20" s="5">
        <f t="shared" si="4"/>
        <v>4.2843664423428719E-2</v>
      </c>
      <c r="G20" s="1"/>
      <c r="H20" s="1">
        <f>SUM(OSRRefH22_0x_0)</f>
        <v>4450.3779618699982</v>
      </c>
      <c r="I20" s="1"/>
      <c r="J20" s="5">
        <f t="shared" si="5"/>
        <v>2.4927062115595724E-2</v>
      </c>
      <c r="K20" s="1"/>
      <c r="L20" s="1">
        <f t="shared" si="6"/>
        <v>-586.00796186999833</v>
      </c>
      <c r="M20" s="1"/>
      <c r="N20" s="5">
        <f t="shared" si="7"/>
        <v>-0.13167599850862205</v>
      </c>
      <c r="O20" s="14"/>
      <c r="P20" s="1">
        <f>SUM(OSRRefP22_0x_0)</f>
        <v>7666.1999999999989</v>
      </c>
      <c r="Q20" s="1"/>
      <c r="R20" s="5">
        <f t="shared" si="8"/>
        <v>3.2504282346556307E-2</v>
      </c>
      <c r="S20" s="1"/>
      <c r="T20" s="1">
        <f>SUM(OSRRefT22_0x_0)</f>
        <v>9332.160020457497</v>
      </c>
      <c r="U20" s="1"/>
      <c r="V20" s="5">
        <f t="shared" si="9"/>
        <v>4.232214536971151E-2</v>
      </c>
      <c r="W20" s="1"/>
      <c r="X20" s="1">
        <f t="shared" si="10"/>
        <v>-1665.9600204574981</v>
      </c>
      <c r="Y20" s="1"/>
      <c r="Z20" s="5">
        <f t="shared" si="11"/>
        <v>-0.17851815836906604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6">
        <v>1214.71</v>
      </c>
      <c r="E21" s="2"/>
      <c r="F21" s="7">
        <f t="shared" si="4"/>
        <v>1.3467299355854409E-2</v>
      </c>
      <c r="G21" s="2"/>
      <c r="H21" s="6">
        <v>1673.63160887769</v>
      </c>
      <c r="I21" s="2"/>
      <c r="J21" s="7">
        <f t="shared" si="5"/>
        <v>9.3741968503701784E-3</v>
      </c>
      <c r="K21" s="2"/>
      <c r="L21" s="6">
        <f t="shared" si="6"/>
        <v>-458.92160887769001</v>
      </c>
      <c r="M21" s="2"/>
      <c r="N21" s="7">
        <f t="shared" si="7"/>
        <v>-0.27420706351586854</v>
      </c>
      <c r="O21" s="11"/>
      <c r="P21" s="6">
        <v>2403.0700000000002</v>
      </c>
      <c r="Q21" s="2"/>
      <c r="R21" s="7">
        <f t="shared" si="8"/>
        <v>1.018888964265726E-2</v>
      </c>
      <c r="S21" s="2"/>
      <c r="T21" s="6">
        <v>3503.5080387248099</v>
      </c>
      <c r="U21" s="2"/>
      <c r="V21" s="7">
        <f t="shared" si="9"/>
        <v>1.5888709172776832E-2</v>
      </c>
      <c r="W21" s="2"/>
      <c r="X21" s="6">
        <f t="shared" si="10"/>
        <v>-1100.4380387248098</v>
      </c>
      <c r="Y21" s="2"/>
      <c r="Z21" s="7">
        <f t="shared" si="11"/>
        <v>-0.31409605074727953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180.15</v>
      </c>
      <c r="E22" s="2"/>
      <c r="F22" s="7">
        <f t="shared" si="4"/>
        <v>1.9972948102486778E-3</v>
      </c>
      <c r="G22" s="2"/>
      <c r="H22" s="6">
        <v>341.15579639999999</v>
      </c>
      <c r="I22" s="2"/>
      <c r="J22" s="7">
        <f t="shared" si="5"/>
        <v>1.910851572792042E-3</v>
      </c>
      <c r="K22" s="2"/>
      <c r="L22" s="6">
        <f t="shared" si="6"/>
        <v>-161.00579639999998</v>
      </c>
      <c r="M22" s="2"/>
      <c r="N22" s="7">
        <f t="shared" si="7"/>
        <v>-0.47194213933631407</v>
      </c>
      <c r="O22" s="11"/>
      <c r="P22" s="6">
        <v>338.14</v>
      </c>
      <c r="Q22" s="2"/>
      <c r="R22" s="7">
        <f t="shared" si="8"/>
        <v>1.4336957074775707E-3</v>
      </c>
      <c r="S22" s="2"/>
      <c r="T22" s="6">
        <v>714.16079190000005</v>
      </c>
      <c r="U22" s="2"/>
      <c r="V22" s="7">
        <f t="shared" si="9"/>
        <v>3.238780388021932E-3</v>
      </c>
      <c r="W22" s="2"/>
      <c r="X22" s="6">
        <f t="shared" si="10"/>
        <v>-376.02079190000006</v>
      </c>
      <c r="Y22" s="2"/>
      <c r="Z22" s="7">
        <f t="shared" si="11"/>
        <v>-0.52652119265692221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1.1689413173387141E-2</v>
      </c>
      <c r="G23" s="2"/>
      <c r="H23" s="6">
        <v>1022.5</v>
      </c>
      <c r="I23" s="2"/>
      <c r="J23" s="7">
        <f t="shared" si="5"/>
        <v>5.7271362638347447E-3</v>
      </c>
      <c r="K23" s="2"/>
      <c r="L23" s="6">
        <f t="shared" si="6"/>
        <v>31.849999999999909</v>
      </c>
      <c r="M23" s="2"/>
      <c r="N23" s="7">
        <f t="shared" si="7"/>
        <v>3.114914425427864E-2</v>
      </c>
      <c r="O23" s="11"/>
      <c r="P23" s="6">
        <v>2108.6999999999998</v>
      </c>
      <c r="Q23" s="2"/>
      <c r="R23" s="7">
        <f t="shared" si="8"/>
        <v>8.9407764191102891E-3</v>
      </c>
      <c r="S23" s="2"/>
      <c r="T23" s="6">
        <v>2045</v>
      </c>
      <c r="U23" s="2"/>
      <c r="V23" s="7">
        <f t="shared" si="9"/>
        <v>9.2742502369582269E-3</v>
      </c>
      <c r="W23" s="2"/>
      <c r="X23" s="6">
        <f t="shared" si="10"/>
        <v>63.699999999999818</v>
      </c>
      <c r="Y23" s="2"/>
      <c r="Z23" s="7">
        <f t="shared" si="11"/>
        <v>3.114914425427864E-2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35.299999999999997</v>
      </c>
      <c r="E24" s="2"/>
      <c r="F24" s="7">
        <f t="shared" si="4"/>
        <v>3.9136556648225549E-4</v>
      </c>
      <c r="G24" s="2"/>
      <c r="H24" s="6">
        <v>45.924818746153797</v>
      </c>
      <c r="I24" s="2"/>
      <c r="J24" s="7">
        <f t="shared" si="5"/>
        <v>2.5723001941431304E-4</v>
      </c>
      <c r="K24" s="2"/>
      <c r="L24" s="6">
        <f t="shared" si="6"/>
        <v>-10.6248187461538</v>
      </c>
      <c r="M24" s="2"/>
      <c r="N24" s="7">
        <f t="shared" si="7"/>
        <v>-0.23135243722749865</v>
      </c>
      <c r="O24" s="11"/>
      <c r="P24" s="6">
        <v>66.64</v>
      </c>
      <c r="Q24" s="2"/>
      <c r="R24" s="7">
        <f t="shared" si="8"/>
        <v>2.8255007377507926E-4</v>
      </c>
      <c r="S24" s="2"/>
      <c r="T24" s="6">
        <v>96.137029678846105</v>
      </c>
      <c r="U24" s="2"/>
      <c r="V24" s="7">
        <f t="shared" si="9"/>
        <v>4.3598966761833672E-4</v>
      </c>
      <c r="W24" s="2"/>
      <c r="X24" s="6">
        <f t="shared" si="10"/>
        <v>-29.497029678846104</v>
      </c>
      <c r="Y24" s="2"/>
      <c r="Z24" s="7">
        <f t="shared" si="11"/>
        <v>-0.30682276930526597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6">
        <v>586.58000000000004</v>
      </c>
      <c r="E25" s="2"/>
      <c r="F25" s="7">
        <f t="shared" si="4"/>
        <v>6.503320509551316E-3</v>
      </c>
      <c r="G25" s="2"/>
      <c r="H25" s="6">
        <v>576.92767246153903</v>
      </c>
      <c r="I25" s="2"/>
      <c r="J25" s="7">
        <f t="shared" si="5"/>
        <v>3.2314360827034269E-3</v>
      </c>
      <c r="K25" s="2"/>
      <c r="L25" s="6">
        <f t="shared" si="6"/>
        <v>9.6523275384610088</v>
      </c>
      <c r="M25" s="2"/>
      <c r="N25" s="7">
        <f t="shared" si="7"/>
        <v>1.6730567797654881E-2</v>
      </c>
      <c r="O25" s="11"/>
      <c r="P25" s="6">
        <v>1173.1600000000001</v>
      </c>
      <c r="Q25" s="2"/>
      <c r="R25" s="7">
        <f t="shared" si="8"/>
        <v>4.9741363227786923E-3</v>
      </c>
      <c r="S25" s="2"/>
      <c r="T25" s="6">
        <v>1298.0872630384599</v>
      </c>
      <c r="U25" s="2"/>
      <c r="V25" s="7">
        <f t="shared" si="9"/>
        <v>5.8869369715534936E-3</v>
      </c>
      <c r="W25" s="2"/>
      <c r="X25" s="6">
        <f t="shared" si="10"/>
        <v>-124.92726303845984</v>
      </c>
      <c r="Y25" s="2"/>
      <c r="Z25" s="7">
        <f t="shared" si="11"/>
        <v>-9.6239495290971422E-2</v>
      </c>
    </row>
    <row r="26" spans="1:26" s="24" customFormat="1" hidden="1" outlineLevel="2" x14ac:dyDescent="0.3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3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>
        <v>112.61</v>
      </c>
      <c r="E27" s="2"/>
      <c r="F27" s="7">
        <f t="shared" si="4"/>
        <v>1.2484894176081245E-3</v>
      </c>
      <c r="G27" s="2"/>
      <c r="H27" s="6"/>
      <c r="I27" s="2"/>
      <c r="J27" s="7">
        <f t="shared" si="5"/>
        <v>0</v>
      </c>
      <c r="K27" s="2"/>
      <c r="L27" s="6">
        <f t="shared" si="6"/>
        <v>112.61</v>
      </c>
      <c r="M27" s="2"/>
      <c r="N27" s="7">
        <f t="shared" si="7"/>
        <v>0</v>
      </c>
      <c r="O27" s="11"/>
      <c r="P27" s="6">
        <v>215.15</v>
      </c>
      <c r="Q27" s="2"/>
      <c r="R27" s="7">
        <f t="shared" si="8"/>
        <v>9.122246154367994E-4</v>
      </c>
      <c r="S27" s="2"/>
      <c r="T27" s="6"/>
      <c r="U27" s="2"/>
      <c r="V27" s="7">
        <f t="shared" si="9"/>
        <v>0</v>
      </c>
      <c r="W27" s="2"/>
      <c r="X27" s="6">
        <f t="shared" si="10"/>
        <v>215.15</v>
      </c>
      <c r="Y27" s="2"/>
      <c r="Z27" s="7">
        <f t="shared" si="11"/>
        <v>0</v>
      </c>
    </row>
    <row r="28" spans="1:26" s="24" customFormat="1" hidden="1" outlineLevel="2" x14ac:dyDescent="0.3">
      <c r="A28" s="27"/>
      <c r="B28" s="11" t="str">
        <f>CONCATENATE("          ", "6118", " - ", "VACATION")</f>
        <v xml:space="preserve">          6118 - VACATION</v>
      </c>
      <c r="C28" s="11"/>
      <c r="D28" s="6">
        <v>413.76</v>
      </c>
      <c r="E28" s="2"/>
      <c r="F28" s="7">
        <f t="shared" si="4"/>
        <v>4.5872922602747321E-3</v>
      </c>
      <c r="G28" s="2"/>
      <c r="H28" s="6">
        <v>201.25383923076899</v>
      </c>
      <c r="I28" s="2"/>
      <c r="J28" s="7">
        <f t="shared" si="5"/>
        <v>1.1272451451291E-3</v>
      </c>
      <c r="K28" s="2"/>
      <c r="L28" s="6">
        <f t="shared" si="6"/>
        <v>212.506160769231</v>
      </c>
      <c r="M28" s="2"/>
      <c r="N28" s="7">
        <f t="shared" si="7"/>
        <v>1.0559110901012898</v>
      </c>
      <c r="O28" s="11"/>
      <c r="P28" s="6">
        <v>827.52</v>
      </c>
      <c r="Q28" s="2"/>
      <c r="R28" s="7">
        <f t="shared" si="8"/>
        <v>3.5086410121601681E-3</v>
      </c>
      <c r="S28" s="2"/>
      <c r="T28" s="6">
        <v>452.82113826923103</v>
      </c>
      <c r="U28" s="2"/>
      <c r="V28" s="7">
        <f t="shared" si="9"/>
        <v>2.0535826644954083E-3</v>
      </c>
      <c r="W28" s="2"/>
      <c r="X28" s="6">
        <f t="shared" si="10"/>
        <v>374.69886173076895</v>
      </c>
      <c r="Y28" s="2"/>
      <c r="Z28" s="7">
        <f t="shared" si="11"/>
        <v>0.82747652453447651</v>
      </c>
    </row>
    <row r="29" spans="1:26" s="24" customFormat="1" hidden="1" outlineLevel="2" x14ac:dyDescent="0.3">
      <c r="A29" s="27"/>
      <c r="B29" s="11" t="str">
        <f>CONCATENATE("          ", "6119", " - ", "SICK LEAVE")</f>
        <v xml:space="preserve">          6119 - SICK LEAVE</v>
      </c>
      <c r="C29" s="11"/>
      <c r="D29" s="6">
        <v>266.91000000000003</v>
      </c>
      <c r="E29" s="2"/>
      <c r="F29" s="7">
        <f t="shared" si="4"/>
        <v>2.9591893300220632E-3</v>
      </c>
      <c r="G29" s="2"/>
      <c r="H29" s="6">
        <v>588.98422615384595</v>
      </c>
      <c r="I29" s="2"/>
      <c r="J29" s="7">
        <f t="shared" si="5"/>
        <v>3.2989661813519174E-3</v>
      </c>
      <c r="K29" s="2"/>
      <c r="L29" s="6">
        <f t="shared" si="6"/>
        <v>-322.07422615384593</v>
      </c>
      <c r="M29" s="2"/>
      <c r="N29" s="7">
        <f t="shared" si="7"/>
        <v>-0.54682996904185066</v>
      </c>
      <c r="O29" s="11"/>
      <c r="P29" s="6">
        <v>533.82000000000005</v>
      </c>
      <c r="Q29" s="2"/>
      <c r="R29" s="7">
        <f t="shared" si="8"/>
        <v>2.2633685531604567E-3</v>
      </c>
      <c r="S29" s="2"/>
      <c r="T29" s="6">
        <v>1222.4457588461501</v>
      </c>
      <c r="U29" s="2"/>
      <c r="V29" s="7">
        <f t="shared" si="9"/>
        <v>5.54389626828728E-3</v>
      </c>
      <c r="W29" s="2"/>
      <c r="X29" s="6">
        <f t="shared" si="10"/>
        <v>-688.62575884615001</v>
      </c>
      <c r="Y29" s="2"/>
      <c r="Z29" s="7">
        <f t="shared" si="11"/>
        <v>-0.56331804815301945</v>
      </c>
    </row>
    <row r="30" spans="1:26" s="28" customFormat="1" outlineLevel="1" collapsed="1" x14ac:dyDescent="0.3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17485.11</v>
      </c>
      <c r="E30" s="1"/>
      <c r="F30" s="5">
        <f t="shared" ref="F30:F40" si="12">IF(D$12=0,0,D30/D$12)</f>
        <v>0.19385467365876916</v>
      </c>
      <c r="G30" s="1"/>
      <c r="H30" s="1">
        <f>SUM(OSRRefH22_1x_0)</f>
        <v>21533.538242307688</v>
      </c>
      <c r="I30" s="1"/>
      <c r="J30" s="5">
        <f t="shared" ref="J30:J40" si="13">IF(H$12=0,0,H30/H$12)</f>
        <v>0.12061174352683877</v>
      </c>
      <c r="K30" s="1"/>
      <c r="L30" s="1">
        <f t="shared" ref="L30:L40" si="14">+D30-H30</f>
        <v>-4048.4282423076875</v>
      </c>
      <c r="M30" s="1"/>
      <c r="N30" s="5">
        <f t="shared" ref="N30:N40" si="15">IF(H30=0,0,L30/H30)</f>
        <v>-0.18800571446979394</v>
      </c>
      <c r="O30" s="14"/>
      <c r="P30" s="1">
        <f>SUM(OSRRefP22_1x_0)</f>
        <v>36455.67</v>
      </c>
      <c r="Q30" s="1"/>
      <c r="R30" s="5">
        <f t="shared" ref="R30:R40" si="16">IF(P$12=0,0,P30/P$12)</f>
        <v>0.15457011176500515</v>
      </c>
      <c r="S30" s="1"/>
      <c r="T30" s="1">
        <f>SUM(OSRRefT22_1x_0)</f>
        <v>45024.836045192307</v>
      </c>
      <c r="U30" s="1"/>
      <c r="V30" s="5">
        <f t="shared" ref="V30:V40" si="17">IF(T$12=0,0,T30/T$12)</f>
        <v>0.20419148966314429</v>
      </c>
      <c r="W30" s="1"/>
      <c r="X30" s="1">
        <f t="shared" ref="X30:X40" si="18">+P30-T30</f>
        <v>-8569.166045192309</v>
      </c>
      <c r="Y30" s="1"/>
      <c r="Z30" s="5">
        <f t="shared" ref="Z30:Z40" si="19">IF(T30=0,0,X30/T30)</f>
        <v>-0.19032087172047155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4479.1000000000004</v>
      </c>
      <c r="E31" s="2"/>
      <c r="F31" s="7">
        <f t="shared" si="12"/>
        <v>4.9659079570273962E-2</v>
      </c>
      <c r="G31" s="2"/>
      <c r="H31" s="6">
        <v>4139.8076923076896</v>
      </c>
      <c r="I31" s="2"/>
      <c r="J31" s="7">
        <f t="shared" si="13"/>
        <v>2.3187523481581807E-2</v>
      </c>
      <c r="K31" s="2"/>
      <c r="L31" s="6">
        <f t="shared" si="14"/>
        <v>339.29230769231071</v>
      </c>
      <c r="M31" s="2"/>
      <c r="N31" s="7">
        <f t="shared" si="15"/>
        <v>8.1958470757653959E-2</v>
      </c>
      <c r="O31" s="11"/>
      <c r="P31" s="6">
        <v>10078.200000000001</v>
      </c>
      <c r="Q31" s="2"/>
      <c r="R31" s="7">
        <f t="shared" si="16"/>
        <v>4.2731034716686739E-2</v>
      </c>
      <c r="S31" s="2"/>
      <c r="T31" s="6">
        <v>9314.5673076923104</v>
      </c>
      <c r="U31" s="2"/>
      <c r="V31" s="7">
        <f t="shared" si="17"/>
        <v>4.2242360909794018E-2</v>
      </c>
      <c r="W31" s="2"/>
      <c r="X31" s="6">
        <f t="shared" si="18"/>
        <v>763.63269230769038</v>
      </c>
      <c r="Y31" s="2"/>
      <c r="Z31" s="7">
        <f t="shared" si="19"/>
        <v>8.1982626469085107E-2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6">
        <v>1634.68</v>
      </c>
      <c r="E32" s="2"/>
      <c r="F32" s="7">
        <f t="shared" si="12"/>
        <v>1.8123440912668938E-2</v>
      </c>
      <c r="G32" s="2"/>
      <c r="H32" s="6">
        <v>2233.2305500000002</v>
      </c>
      <c r="I32" s="2"/>
      <c r="J32" s="7">
        <f t="shared" si="13"/>
        <v>1.250857278083972E-2</v>
      </c>
      <c r="K32" s="2"/>
      <c r="L32" s="6">
        <f t="shared" si="14"/>
        <v>-598.55055000000016</v>
      </c>
      <c r="M32" s="2"/>
      <c r="N32" s="7">
        <f t="shared" si="15"/>
        <v>-0.26802004387769102</v>
      </c>
      <c r="O32" s="11"/>
      <c r="P32" s="6">
        <v>6748.3</v>
      </c>
      <c r="Q32" s="2"/>
      <c r="R32" s="7">
        <f t="shared" si="16"/>
        <v>2.861243491681224E-2</v>
      </c>
      <c r="S32" s="2"/>
      <c r="T32" s="6">
        <v>5024.7687374999996</v>
      </c>
      <c r="U32" s="2"/>
      <c r="V32" s="7">
        <f t="shared" si="17"/>
        <v>2.2787756799227218E-2</v>
      </c>
      <c r="W32" s="2"/>
      <c r="X32" s="6">
        <f t="shared" si="18"/>
        <v>1723.5312625000006</v>
      </c>
      <c r="Y32" s="2"/>
      <c r="Z32" s="7">
        <f t="shared" si="19"/>
        <v>0.34300708202493679</v>
      </c>
    </row>
    <row r="33" spans="1:26" s="24" customFormat="1" hidden="1" outlineLevel="2" x14ac:dyDescent="0.3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6">
        <v>2322.4</v>
      </c>
      <c r="E34" s="2"/>
      <c r="F34" s="7">
        <f t="shared" si="12"/>
        <v>2.574808474782975E-2</v>
      </c>
      <c r="G34" s="2"/>
      <c r="H34" s="6">
        <v>2088</v>
      </c>
      <c r="I34" s="2"/>
      <c r="J34" s="7">
        <f t="shared" si="13"/>
        <v>1.1695120311869875E-2</v>
      </c>
      <c r="K34" s="2"/>
      <c r="L34" s="6">
        <f t="shared" si="14"/>
        <v>234.40000000000009</v>
      </c>
      <c r="M34" s="2"/>
      <c r="N34" s="7">
        <f t="shared" si="15"/>
        <v>0.11226053639846748</v>
      </c>
      <c r="O34" s="11"/>
      <c r="P34" s="6">
        <v>2322.4</v>
      </c>
      <c r="Q34" s="2"/>
      <c r="R34" s="7">
        <f t="shared" si="16"/>
        <v>9.8468531112731721E-3</v>
      </c>
      <c r="S34" s="2"/>
      <c r="T34" s="6">
        <v>4698</v>
      </c>
      <c r="U34" s="2"/>
      <c r="V34" s="7">
        <f t="shared" si="17"/>
        <v>2.1305832573706482E-2</v>
      </c>
      <c r="W34" s="2"/>
      <c r="X34" s="6">
        <f t="shared" si="18"/>
        <v>-2375.6</v>
      </c>
      <c r="Y34" s="2"/>
      <c r="Z34" s="7">
        <f t="shared" si="19"/>
        <v>-0.50566198382290339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7230.43</v>
      </c>
      <c r="E35" s="2"/>
      <c r="F35" s="7">
        <f t="shared" si="12"/>
        <v>8.016264399037662E-2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7230.43</v>
      </c>
      <c r="M35" s="2"/>
      <c r="N35" s="7">
        <f t="shared" si="15"/>
        <v>0</v>
      </c>
      <c r="O35" s="11"/>
      <c r="P35" s="6">
        <v>13410.07</v>
      </c>
      <c r="Q35" s="2"/>
      <c r="R35" s="7">
        <f t="shared" si="16"/>
        <v>5.6857987212319591E-2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13410.07</v>
      </c>
      <c r="Y35" s="2"/>
      <c r="Z35" s="7">
        <f t="shared" si="19"/>
        <v>0</v>
      </c>
    </row>
    <row r="36" spans="1:26" s="24" customFormat="1" hidden="1" outlineLevel="2" x14ac:dyDescent="0.3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3">
      <c r="A37" s="27"/>
      <c r="B37" s="11" t="str">
        <f>CONCATENATE("          ", "6007", " - ", "STUDENT HOURLY")</f>
        <v xml:space="preserve">          6007 - STUDENT HOURLY</v>
      </c>
      <c r="C37" s="11"/>
      <c r="D37" s="6">
        <v>1818.5</v>
      </c>
      <c r="E37" s="2"/>
      <c r="F37" s="7">
        <f t="shared" si="12"/>
        <v>2.0161424437619875E-2</v>
      </c>
      <c r="G37" s="2"/>
      <c r="H37" s="6">
        <v>13072.5</v>
      </c>
      <c r="I37" s="2"/>
      <c r="J37" s="7">
        <f t="shared" si="13"/>
        <v>7.3220526952547382E-2</v>
      </c>
      <c r="K37" s="2"/>
      <c r="L37" s="6">
        <f t="shared" si="14"/>
        <v>-11254</v>
      </c>
      <c r="M37" s="2"/>
      <c r="N37" s="7">
        <f t="shared" si="15"/>
        <v>-0.86089118378275009</v>
      </c>
      <c r="O37" s="11"/>
      <c r="P37" s="6">
        <v>3896.7</v>
      </c>
      <c r="Q37" s="2"/>
      <c r="R37" s="7">
        <f t="shared" si="16"/>
        <v>1.6521801807913437E-2</v>
      </c>
      <c r="S37" s="2"/>
      <c r="T37" s="6">
        <v>25987.5</v>
      </c>
      <c r="U37" s="2"/>
      <c r="V37" s="7">
        <f t="shared" si="17"/>
        <v>0.1178555393804166</v>
      </c>
      <c r="W37" s="2"/>
      <c r="X37" s="6">
        <f t="shared" si="18"/>
        <v>-22090.799999999999</v>
      </c>
      <c r="Y37" s="2"/>
      <c r="Z37" s="7">
        <f t="shared" si="19"/>
        <v>-0.85005483405483406</v>
      </c>
    </row>
    <row r="38" spans="1:26" s="24" customFormat="1" hidden="1" outlineLevel="2" x14ac:dyDescent="0.3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3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3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8" customFormat="1" outlineLevel="1" collapsed="1" x14ac:dyDescent="0.3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17.64</v>
      </c>
      <c r="E41" s="1"/>
      <c r="F41" s="5">
        <f t="shared" ref="F41:F58" si="20">IF(D$12=0,0,D41/D$12)</f>
        <v>1.9557191480869653E-4</v>
      </c>
      <c r="G41" s="1"/>
      <c r="H41" s="1">
        <f>SUM(OSRRefH22_2x_0)</f>
        <v>100</v>
      </c>
      <c r="I41" s="1"/>
      <c r="J41" s="5">
        <f t="shared" ref="J41:J58" si="21">IF(H$12=0,0,H41/H$12)</f>
        <v>5.6011112604740783E-4</v>
      </c>
      <c r="K41" s="1"/>
      <c r="L41" s="1">
        <f t="shared" ref="L41:L58" si="22">+D41-H41</f>
        <v>-82.36</v>
      </c>
      <c r="M41" s="1"/>
      <c r="N41" s="5">
        <f t="shared" ref="N41:N58" si="23">IF(H41=0,0,L41/H41)</f>
        <v>-0.8236</v>
      </c>
      <c r="O41" s="14"/>
      <c r="P41" s="1">
        <f>SUM(OSRRefP22_2x_0)</f>
        <v>17.64</v>
      </c>
      <c r="Q41" s="1"/>
      <c r="R41" s="5">
        <f t="shared" ref="R41:R58" si="24">IF(P$12=0,0,P41/P$12)</f>
        <v>7.4792666587520992E-5</v>
      </c>
      <c r="S41" s="1"/>
      <c r="T41" s="1">
        <f>SUM(OSRRefT22_2x_0)</f>
        <v>200</v>
      </c>
      <c r="U41" s="1"/>
      <c r="V41" s="5">
        <f t="shared" ref="V41:V58" si="25">IF(T$12=0,0,T41/T$12)</f>
        <v>9.0701713808882421E-4</v>
      </c>
      <c r="W41" s="1"/>
      <c r="X41" s="1">
        <f t="shared" ref="X41:X58" si="26">+P41-T41</f>
        <v>-182.36</v>
      </c>
      <c r="Y41" s="1"/>
      <c r="Z41" s="5">
        <f t="shared" ref="Z41:Z58" si="27">IF(T41=0,0,X41/T41)</f>
        <v>-0.91180000000000005</v>
      </c>
    </row>
    <row r="42" spans="1:26" s="24" customFormat="1" hidden="1" outlineLevel="2" x14ac:dyDescent="0.3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17.64</v>
      </c>
      <c r="E42" s="2"/>
      <c r="F42" s="7">
        <f t="shared" si="20"/>
        <v>1.9557191480869653E-4</v>
      </c>
      <c r="G42" s="2"/>
      <c r="H42" s="6">
        <v>100</v>
      </c>
      <c r="I42" s="2"/>
      <c r="J42" s="7">
        <f t="shared" si="21"/>
        <v>5.6011112604740783E-4</v>
      </c>
      <c r="K42" s="2"/>
      <c r="L42" s="6">
        <f t="shared" si="22"/>
        <v>-82.36</v>
      </c>
      <c r="M42" s="2"/>
      <c r="N42" s="7">
        <f t="shared" si="23"/>
        <v>-0.8236</v>
      </c>
      <c r="O42" s="11"/>
      <c r="P42" s="6">
        <v>17.64</v>
      </c>
      <c r="Q42" s="2"/>
      <c r="R42" s="7">
        <f t="shared" si="24"/>
        <v>7.4792666587520992E-5</v>
      </c>
      <c r="S42" s="2"/>
      <c r="T42" s="6">
        <v>200</v>
      </c>
      <c r="U42" s="2"/>
      <c r="V42" s="7">
        <f t="shared" si="25"/>
        <v>9.0701713808882421E-4</v>
      </c>
      <c r="W42" s="2"/>
      <c r="X42" s="6">
        <f t="shared" si="26"/>
        <v>-182.36</v>
      </c>
      <c r="Y42" s="2"/>
      <c r="Z42" s="7">
        <f t="shared" si="27"/>
        <v>-0.91180000000000005</v>
      </c>
    </row>
    <row r="43" spans="1:26" s="28" customFormat="1" outlineLevel="1" collapsed="1" x14ac:dyDescent="0.3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467.14</v>
      </c>
      <c r="E43" s="1"/>
      <c r="F43" s="5">
        <f t="shared" si="20"/>
        <v>5.179107952592658E-3</v>
      </c>
      <c r="G43" s="1"/>
      <c r="H43" s="1">
        <f>SUM(OSRRefH22_3x_0)</f>
        <v>1250</v>
      </c>
      <c r="I43" s="1"/>
      <c r="J43" s="5">
        <f t="shared" si="21"/>
        <v>7.0013890755925975E-3</v>
      </c>
      <c r="K43" s="1"/>
      <c r="L43" s="1">
        <f t="shared" si="22"/>
        <v>-782.86</v>
      </c>
      <c r="M43" s="1"/>
      <c r="N43" s="5">
        <f t="shared" si="23"/>
        <v>-0.62628799999999996</v>
      </c>
      <c r="O43" s="14"/>
      <c r="P43" s="1">
        <f>SUM(OSRRefP22_3x_0)</f>
        <v>511.26</v>
      </c>
      <c r="Q43" s="1"/>
      <c r="R43" s="5">
        <f t="shared" si="24"/>
        <v>2.1677153469124703E-3</v>
      </c>
      <c r="S43" s="1"/>
      <c r="T43" s="1">
        <f>SUM(OSRRefT22_3x_0)</f>
        <v>2500</v>
      </c>
      <c r="U43" s="1"/>
      <c r="V43" s="5">
        <f t="shared" si="25"/>
        <v>1.1337714226110303E-2</v>
      </c>
      <c r="W43" s="1"/>
      <c r="X43" s="1">
        <f t="shared" si="26"/>
        <v>-1988.74</v>
      </c>
      <c r="Y43" s="1"/>
      <c r="Z43" s="5">
        <f t="shared" si="27"/>
        <v>-0.79549599999999998</v>
      </c>
    </row>
    <row r="44" spans="1:26" s="24" customFormat="1" hidden="1" outlineLevel="2" x14ac:dyDescent="0.3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467.14</v>
      </c>
      <c r="E44" s="2"/>
      <c r="F44" s="7">
        <f t="shared" si="20"/>
        <v>5.179107952592658E-3</v>
      </c>
      <c r="G44" s="2"/>
      <c r="H44" s="6">
        <v>1250</v>
      </c>
      <c r="I44" s="2"/>
      <c r="J44" s="7">
        <f t="shared" si="21"/>
        <v>7.0013890755925975E-3</v>
      </c>
      <c r="K44" s="2"/>
      <c r="L44" s="6">
        <f t="shared" si="22"/>
        <v>-782.86</v>
      </c>
      <c r="M44" s="2"/>
      <c r="N44" s="7">
        <f t="shared" si="23"/>
        <v>-0.62628799999999996</v>
      </c>
      <c r="O44" s="11"/>
      <c r="P44" s="6">
        <v>511.26</v>
      </c>
      <c r="Q44" s="2"/>
      <c r="R44" s="7">
        <f t="shared" si="24"/>
        <v>2.1677153469124703E-3</v>
      </c>
      <c r="S44" s="2"/>
      <c r="T44" s="6">
        <v>2500</v>
      </c>
      <c r="U44" s="2"/>
      <c r="V44" s="7">
        <f t="shared" si="25"/>
        <v>1.1337714226110303E-2</v>
      </c>
      <c r="W44" s="2"/>
      <c r="X44" s="6">
        <f t="shared" si="26"/>
        <v>-1988.74</v>
      </c>
      <c r="Y44" s="2"/>
      <c r="Z44" s="7">
        <f t="shared" si="27"/>
        <v>-0.79549599999999998</v>
      </c>
    </row>
    <row r="45" spans="1:26" s="28" customFormat="1" outlineLevel="1" collapsed="1" x14ac:dyDescent="0.3">
      <c r="A45" s="29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20</v>
      </c>
      <c r="I45" s="1"/>
      <c r="J45" s="5">
        <f t="shared" si="21"/>
        <v>1.1202222520948156E-4</v>
      </c>
      <c r="K45" s="1"/>
      <c r="L45" s="1">
        <f t="shared" si="22"/>
        <v>-20</v>
      </c>
      <c r="M45" s="1"/>
      <c r="N45" s="5">
        <f t="shared" si="23"/>
        <v>-1</v>
      </c>
      <c r="O45" s="14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40</v>
      </c>
      <c r="U45" s="1"/>
      <c r="V45" s="5">
        <f t="shared" si="25"/>
        <v>1.8140342761776483E-4</v>
      </c>
      <c r="W45" s="1"/>
      <c r="X45" s="1">
        <f t="shared" si="26"/>
        <v>-40</v>
      </c>
      <c r="Y45" s="1"/>
      <c r="Z45" s="5">
        <f t="shared" si="27"/>
        <v>-1</v>
      </c>
    </row>
    <row r="46" spans="1:26" s="24" customFormat="1" hidden="1" outlineLevel="2" x14ac:dyDescent="0.3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20</v>
      </c>
      <c r="I46" s="2"/>
      <c r="J46" s="7">
        <f t="shared" si="21"/>
        <v>1.1202222520948156E-4</v>
      </c>
      <c r="K46" s="2"/>
      <c r="L46" s="6">
        <f t="shared" si="22"/>
        <v>-20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40</v>
      </c>
      <c r="U46" s="2"/>
      <c r="V46" s="7">
        <f t="shared" si="25"/>
        <v>1.8140342761776483E-4</v>
      </c>
      <c r="W46" s="2"/>
      <c r="X46" s="6">
        <f t="shared" si="26"/>
        <v>-40</v>
      </c>
      <c r="Y46" s="2"/>
      <c r="Z46" s="7">
        <f t="shared" si="27"/>
        <v>-1</v>
      </c>
    </row>
    <row r="47" spans="1:26" s="28" customFormat="1" outlineLevel="1" collapsed="1" x14ac:dyDescent="0.3">
      <c r="A47" s="29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5.6011112604740781E-5</v>
      </c>
      <c r="K47" s="1"/>
      <c r="L47" s="1">
        <f t="shared" si="22"/>
        <v>-10</v>
      </c>
      <c r="M47" s="1"/>
      <c r="N47" s="5">
        <f t="shared" si="23"/>
        <v>-1</v>
      </c>
      <c r="O47" s="14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20</v>
      </c>
      <c r="U47" s="1"/>
      <c r="V47" s="5">
        <f t="shared" si="25"/>
        <v>9.0701713808882415E-5</v>
      </c>
      <c r="W47" s="1"/>
      <c r="X47" s="1">
        <f t="shared" si="26"/>
        <v>-20</v>
      </c>
      <c r="Y47" s="1"/>
      <c r="Z47" s="5">
        <f t="shared" si="27"/>
        <v>-1</v>
      </c>
    </row>
    <row r="48" spans="1:26" s="24" customFormat="1" hidden="1" outlineLevel="2" x14ac:dyDescent="0.3">
      <c r="A48" s="27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5.6011112604740781E-5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20</v>
      </c>
      <c r="U48" s="2"/>
      <c r="V48" s="7">
        <f t="shared" si="25"/>
        <v>9.0701713808882415E-5</v>
      </c>
      <c r="W48" s="2"/>
      <c r="X48" s="6">
        <f t="shared" si="26"/>
        <v>-20</v>
      </c>
      <c r="Y48" s="2"/>
      <c r="Z48" s="7">
        <f t="shared" si="27"/>
        <v>-1</v>
      </c>
    </row>
    <row r="49" spans="1:26" s="28" customFormat="1" outlineLevel="1" collapsed="1" x14ac:dyDescent="0.3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2.8005556302370391E-4</v>
      </c>
      <c r="K49" s="1"/>
      <c r="L49" s="1">
        <f t="shared" si="22"/>
        <v>-50</v>
      </c>
      <c r="M49" s="1"/>
      <c r="N49" s="5">
        <f t="shared" si="23"/>
        <v>-1</v>
      </c>
      <c r="O49" s="14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100</v>
      </c>
      <c r="U49" s="1"/>
      <c r="V49" s="5">
        <f t="shared" si="25"/>
        <v>4.535085690444121E-4</v>
      </c>
      <c r="W49" s="1"/>
      <c r="X49" s="1">
        <f t="shared" si="26"/>
        <v>-100</v>
      </c>
      <c r="Y49" s="1"/>
      <c r="Z49" s="5">
        <f t="shared" si="27"/>
        <v>-1</v>
      </c>
    </row>
    <row r="50" spans="1:26" s="24" customFormat="1" hidden="1" outlineLevel="2" x14ac:dyDescent="0.3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2.8005556302370391E-4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100</v>
      </c>
      <c r="U50" s="2"/>
      <c r="V50" s="7">
        <f t="shared" si="25"/>
        <v>4.535085690444121E-4</v>
      </c>
      <c r="W50" s="2"/>
      <c r="X50" s="6">
        <f t="shared" si="26"/>
        <v>-100</v>
      </c>
      <c r="Y50" s="2"/>
      <c r="Z50" s="7">
        <f t="shared" si="27"/>
        <v>-1</v>
      </c>
    </row>
    <row r="51" spans="1:26" s="28" customFormat="1" outlineLevel="1" collapsed="1" x14ac:dyDescent="0.3">
      <c r="A51" s="29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39.43</v>
      </c>
      <c r="E51" s="1"/>
      <c r="F51" s="5">
        <f t="shared" si="20"/>
        <v>4.3715422907635509E-4</v>
      </c>
      <c r="G51" s="1"/>
      <c r="H51" s="1">
        <f>SUM(OSRRefH22_7x_0)</f>
        <v>40</v>
      </c>
      <c r="I51" s="1"/>
      <c r="J51" s="5">
        <f t="shared" si="21"/>
        <v>2.2404445041896313E-4</v>
      </c>
      <c r="K51" s="1"/>
      <c r="L51" s="1">
        <f t="shared" si="22"/>
        <v>-0.57000000000000028</v>
      </c>
      <c r="M51" s="1"/>
      <c r="N51" s="5">
        <f t="shared" si="23"/>
        <v>-1.4250000000000007E-2</v>
      </c>
      <c r="O51" s="14"/>
      <c r="P51" s="1">
        <f>SUM(OSRRefP22_7x_0)</f>
        <v>78.86</v>
      </c>
      <c r="Q51" s="1"/>
      <c r="R51" s="5">
        <f t="shared" si="24"/>
        <v>3.3436222715940505E-4</v>
      </c>
      <c r="S51" s="1"/>
      <c r="T51" s="1">
        <f>SUM(OSRRefT22_7x_0)</f>
        <v>80</v>
      </c>
      <c r="U51" s="1"/>
      <c r="V51" s="5">
        <f t="shared" si="25"/>
        <v>3.6280685523552966E-4</v>
      </c>
      <c r="W51" s="1"/>
      <c r="X51" s="1">
        <f t="shared" si="26"/>
        <v>-1.1400000000000006</v>
      </c>
      <c r="Y51" s="1"/>
      <c r="Z51" s="5">
        <f t="shared" si="27"/>
        <v>-1.4250000000000007E-2</v>
      </c>
    </row>
    <row r="52" spans="1:26" s="24" customFormat="1" hidden="1" outlineLevel="2" x14ac:dyDescent="0.3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39.43</v>
      </c>
      <c r="E52" s="2"/>
      <c r="F52" s="7">
        <f t="shared" si="20"/>
        <v>4.3715422907635509E-4</v>
      </c>
      <c r="G52" s="2"/>
      <c r="H52" s="6">
        <v>40</v>
      </c>
      <c r="I52" s="2"/>
      <c r="J52" s="7">
        <f t="shared" si="21"/>
        <v>2.2404445041896313E-4</v>
      </c>
      <c r="K52" s="2"/>
      <c r="L52" s="6">
        <f t="shared" si="22"/>
        <v>-0.57000000000000028</v>
      </c>
      <c r="M52" s="2"/>
      <c r="N52" s="7">
        <f t="shared" si="23"/>
        <v>-1.4250000000000007E-2</v>
      </c>
      <c r="O52" s="11"/>
      <c r="P52" s="6">
        <v>78.86</v>
      </c>
      <c r="Q52" s="2"/>
      <c r="R52" s="7">
        <f t="shared" si="24"/>
        <v>3.3436222715940505E-4</v>
      </c>
      <c r="S52" s="2"/>
      <c r="T52" s="6">
        <v>80</v>
      </c>
      <c r="U52" s="2"/>
      <c r="V52" s="7">
        <f t="shared" si="25"/>
        <v>3.6280685523552966E-4</v>
      </c>
      <c r="W52" s="2"/>
      <c r="X52" s="6">
        <f t="shared" si="26"/>
        <v>-1.1400000000000006</v>
      </c>
      <c r="Y52" s="2"/>
      <c r="Z52" s="7">
        <f t="shared" si="27"/>
        <v>-1.4250000000000007E-2</v>
      </c>
    </row>
    <row r="53" spans="1:26" s="28" customFormat="1" outlineLevel="1" collapsed="1" x14ac:dyDescent="0.3">
      <c r="A53" s="29"/>
      <c r="B53" s="14" t="str">
        <f>CONCATENATE("     ","Rent                                              ")</f>
        <v xml:space="preserve">     Rent                                              </v>
      </c>
      <c r="C53" s="14"/>
      <c r="D53" s="1">
        <f>SUM(OSRRefD22_8x_0)</f>
        <v>800</v>
      </c>
      <c r="E53" s="1"/>
      <c r="F53" s="5">
        <f t="shared" si="20"/>
        <v>8.8694745944987077E-3</v>
      </c>
      <c r="G53" s="1"/>
      <c r="H53" s="1">
        <f>SUM(OSRRefH22_8x_0)</f>
        <v>800</v>
      </c>
      <c r="I53" s="1"/>
      <c r="J53" s="5">
        <f t="shared" si="21"/>
        <v>4.4808890083792626E-3</v>
      </c>
      <c r="K53" s="1"/>
      <c r="L53" s="1">
        <f t="shared" si="22"/>
        <v>0</v>
      </c>
      <c r="M53" s="1"/>
      <c r="N53" s="5">
        <f t="shared" si="23"/>
        <v>0</v>
      </c>
      <c r="O53" s="14"/>
      <c r="P53" s="1">
        <f>SUM(OSRRefP22_8x_0)</f>
        <v>1600</v>
      </c>
      <c r="Q53" s="1"/>
      <c r="R53" s="5">
        <f t="shared" si="24"/>
        <v>6.7839153367365975E-3</v>
      </c>
      <c r="S53" s="1"/>
      <c r="T53" s="1">
        <f>SUM(OSRRefT22_8x_0)</f>
        <v>1600</v>
      </c>
      <c r="U53" s="1"/>
      <c r="V53" s="5">
        <f t="shared" si="25"/>
        <v>7.2561371047105937E-3</v>
      </c>
      <c r="W53" s="1"/>
      <c r="X53" s="1">
        <f t="shared" si="26"/>
        <v>0</v>
      </c>
      <c r="Y53" s="1"/>
      <c r="Z53" s="5">
        <f t="shared" si="27"/>
        <v>0</v>
      </c>
    </row>
    <row r="54" spans="1:26" s="24" customFormat="1" hidden="1" outlineLevel="2" x14ac:dyDescent="0.3">
      <c r="A54" s="27"/>
      <c r="B54" s="11" t="str">
        <f>CONCATENATE("          ", "6273", " - ", "RENT")</f>
        <v xml:space="preserve">          6273 - RENT</v>
      </c>
      <c r="C54" s="11"/>
      <c r="D54" s="6">
        <v>800</v>
      </c>
      <c r="E54" s="2"/>
      <c r="F54" s="7">
        <f t="shared" si="20"/>
        <v>8.8694745944987077E-3</v>
      </c>
      <c r="G54" s="2"/>
      <c r="H54" s="6">
        <v>800</v>
      </c>
      <c r="I54" s="2"/>
      <c r="J54" s="7">
        <f t="shared" si="21"/>
        <v>4.4808890083792626E-3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>
        <v>1600</v>
      </c>
      <c r="Q54" s="2"/>
      <c r="R54" s="7">
        <f t="shared" si="24"/>
        <v>6.7839153367365975E-3</v>
      </c>
      <c r="S54" s="2"/>
      <c r="T54" s="6">
        <v>1600</v>
      </c>
      <c r="U54" s="2"/>
      <c r="V54" s="7">
        <f t="shared" si="25"/>
        <v>7.2561371047105937E-3</v>
      </c>
      <c r="W54" s="2"/>
      <c r="X54" s="6">
        <f t="shared" si="26"/>
        <v>0</v>
      </c>
      <c r="Y54" s="2"/>
      <c r="Z54" s="7">
        <f t="shared" si="27"/>
        <v>0</v>
      </c>
    </row>
    <row r="55" spans="1:26" s="28" customFormat="1" outlineLevel="1" collapsed="1" x14ac:dyDescent="0.3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0</v>
      </c>
      <c r="E55" s="1"/>
      <c r="F55" s="5">
        <f t="shared" si="20"/>
        <v>0</v>
      </c>
      <c r="G55" s="1"/>
      <c r="H55" s="1">
        <f>SUM(OSRRefH22_9x_0)</f>
        <v>128200</v>
      </c>
      <c r="I55" s="1"/>
      <c r="J55" s="5">
        <f t="shared" si="21"/>
        <v>0.71806246359277681</v>
      </c>
      <c r="K55" s="1"/>
      <c r="L55" s="1">
        <f t="shared" si="22"/>
        <v>-128200</v>
      </c>
      <c r="M55" s="1"/>
      <c r="N55" s="5">
        <f t="shared" si="23"/>
        <v>-1</v>
      </c>
      <c r="O55" s="14"/>
      <c r="P55" s="1">
        <f>SUM(OSRRefP22_9x_0)</f>
        <v>122000.62</v>
      </c>
      <c r="Q55" s="1"/>
      <c r="R55" s="5">
        <f t="shared" si="24"/>
        <v>0.5172761731933585</v>
      </c>
      <c r="S55" s="1"/>
      <c r="T55" s="1">
        <f>SUM(OSRRefT22_9x_0)</f>
        <v>131400</v>
      </c>
      <c r="U55" s="1"/>
      <c r="V55" s="5">
        <f t="shared" si="25"/>
        <v>0.59591025972435752</v>
      </c>
      <c r="W55" s="1"/>
      <c r="X55" s="1">
        <f t="shared" si="26"/>
        <v>-9399.3800000000047</v>
      </c>
      <c r="Y55" s="1"/>
      <c r="Z55" s="5">
        <f t="shared" si="27"/>
        <v>-7.1532572298325756E-2</v>
      </c>
    </row>
    <row r="56" spans="1:26" s="24" customFormat="1" hidden="1" outlineLevel="2" x14ac:dyDescent="0.3">
      <c r="A56" s="27"/>
      <c r="B56" s="11" t="str">
        <f>CONCATENATE("          ", "6371", " - ", "COMPUTER SOFTWARE MAINTENANCE")</f>
        <v xml:space="preserve">          6371 - COMPUTER SOFTWARE MAINTENANCE</v>
      </c>
      <c r="C56" s="11"/>
      <c r="D56" s="6"/>
      <c r="E56" s="2"/>
      <c r="F56" s="7">
        <f t="shared" si="20"/>
        <v>0</v>
      </c>
      <c r="G56" s="2"/>
      <c r="H56" s="6">
        <v>125000</v>
      </c>
      <c r="I56" s="2"/>
      <c r="J56" s="7">
        <f t="shared" si="21"/>
        <v>0.70013890755925978</v>
      </c>
      <c r="K56" s="2"/>
      <c r="L56" s="6">
        <f t="shared" si="22"/>
        <v>-125000</v>
      </c>
      <c r="M56" s="2"/>
      <c r="N56" s="7">
        <f t="shared" si="23"/>
        <v>-1</v>
      </c>
      <c r="O56" s="11"/>
      <c r="P56" s="6"/>
      <c r="Q56" s="2"/>
      <c r="R56" s="7">
        <f t="shared" si="24"/>
        <v>0</v>
      </c>
      <c r="S56" s="2"/>
      <c r="T56" s="6">
        <v>125000</v>
      </c>
      <c r="U56" s="2"/>
      <c r="V56" s="7">
        <f t="shared" si="25"/>
        <v>0.56688571130551513</v>
      </c>
      <c r="W56" s="2"/>
      <c r="X56" s="6">
        <f t="shared" si="26"/>
        <v>-125000</v>
      </c>
      <c r="Y56" s="2"/>
      <c r="Z56" s="7">
        <f t="shared" si="27"/>
        <v>-1</v>
      </c>
    </row>
    <row r="57" spans="1:26" s="24" customFormat="1" hidden="1" outlineLevel="2" x14ac:dyDescent="0.3">
      <c r="A57" s="27"/>
      <c r="B57" s="11" t="str">
        <f>CONCATENATE("          ", "6372", " - ", "COMPUTER HARDWARE MAINTENANCE")</f>
        <v xml:space="preserve">          6372 - COMPUTER HARDWARE MAINTENANCE</v>
      </c>
      <c r="C57" s="11"/>
      <c r="D57" s="6"/>
      <c r="E57" s="2"/>
      <c r="F57" s="7">
        <f t="shared" si="20"/>
        <v>0</v>
      </c>
      <c r="G57" s="2"/>
      <c r="H57" s="6">
        <v>3200</v>
      </c>
      <c r="I57" s="2"/>
      <c r="J57" s="7">
        <f t="shared" si="21"/>
        <v>1.792355603351705E-2</v>
      </c>
      <c r="K57" s="2"/>
      <c r="L57" s="6">
        <f t="shared" si="22"/>
        <v>-3200</v>
      </c>
      <c r="M57" s="2"/>
      <c r="N57" s="7">
        <f t="shared" si="23"/>
        <v>-1</v>
      </c>
      <c r="O57" s="11"/>
      <c r="P57" s="6"/>
      <c r="Q57" s="2"/>
      <c r="R57" s="7">
        <f t="shared" si="24"/>
        <v>0</v>
      </c>
      <c r="S57" s="2"/>
      <c r="T57" s="6">
        <v>6400</v>
      </c>
      <c r="U57" s="2"/>
      <c r="V57" s="7">
        <f t="shared" si="25"/>
        <v>2.9024548418842375E-2</v>
      </c>
      <c r="W57" s="2"/>
      <c r="X57" s="6">
        <f t="shared" si="26"/>
        <v>-6400</v>
      </c>
      <c r="Y57" s="2"/>
      <c r="Z57" s="7">
        <f t="shared" si="27"/>
        <v>-1</v>
      </c>
    </row>
    <row r="58" spans="1:26" s="24" customFormat="1" hidden="1" outlineLevel="2" x14ac:dyDescent="0.3">
      <c r="A58" s="27"/>
      <c r="B58" s="11" t="str">
        <f>CONCATENATE("          ", "6373", " - ", "MAINTENANCE CONTRACTS")</f>
        <v xml:space="preserve">          6373 - MAINTENANCE CONTRACTS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122000.62</v>
      </c>
      <c r="Q58" s="2"/>
      <c r="R58" s="7">
        <f t="shared" si="24"/>
        <v>0.5172761731933585</v>
      </c>
      <c r="S58" s="2"/>
      <c r="T58" s="6"/>
      <c r="U58" s="2"/>
      <c r="V58" s="7">
        <f t="shared" si="25"/>
        <v>0</v>
      </c>
      <c r="W58" s="2"/>
      <c r="X58" s="6">
        <f t="shared" si="26"/>
        <v>122000.62</v>
      </c>
      <c r="Y58" s="2"/>
      <c r="Z58" s="7">
        <f t="shared" si="27"/>
        <v>0</v>
      </c>
    </row>
    <row r="59" spans="1:26" s="28" customFormat="1" outlineLevel="1" collapsed="1" x14ac:dyDescent="0.3">
      <c r="A59" s="29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SUM(OSRRefD22_10x_0)</f>
        <v>0</v>
      </c>
      <c r="E59" s="1"/>
      <c r="F59" s="5">
        <f t="shared" ref="F59:F63" si="28">IF(D$12=0,0,D59/D$12)</f>
        <v>0</v>
      </c>
      <c r="G59" s="1"/>
      <c r="H59" s="1">
        <f>SUM(OSRRefH22_10x_0)</f>
        <v>85</v>
      </c>
      <c r="I59" s="1"/>
      <c r="J59" s="5">
        <f t="shared" ref="J59:J63" si="29">IF(H$12=0,0,H59/H$12)</f>
        <v>4.7609445714029663E-4</v>
      </c>
      <c r="K59" s="1"/>
      <c r="L59" s="1">
        <f t="shared" ref="L59:L63" si="30">+D59-H59</f>
        <v>-85</v>
      </c>
      <c r="M59" s="1"/>
      <c r="N59" s="5">
        <f t="shared" ref="N59:N63" si="31">IF(H59=0,0,L59/H59)</f>
        <v>-1</v>
      </c>
      <c r="O59" s="14"/>
      <c r="P59" s="1">
        <f>SUM(OSRRefP22_10x_0)</f>
        <v>0</v>
      </c>
      <c r="Q59" s="1"/>
      <c r="R59" s="5">
        <f t="shared" ref="R59:R63" si="32">IF(P$12=0,0,P59/P$12)</f>
        <v>0</v>
      </c>
      <c r="S59" s="1"/>
      <c r="T59" s="1">
        <f>SUM(OSRRefT22_10x_0)</f>
        <v>170</v>
      </c>
      <c r="U59" s="1"/>
      <c r="V59" s="5">
        <f t="shared" ref="V59:V63" si="33">IF(T$12=0,0,T59/T$12)</f>
        <v>7.709645673755006E-4</v>
      </c>
      <c r="W59" s="1"/>
      <c r="X59" s="1">
        <f t="shared" ref="X59:X63" si="34">+P59-T59</f>
        <v>-170</v>
      </c>
      <c r="Y59" s="1"/>
      <c r="Z59" s="5">
        <f t="shared" ref="Z59:Z63" si="35">IF(T59=0,0,X59/T59)</f>
        <v>-1</v>
      </c>
    </row>
    <row r="60" spans="1:26" s="24" customFormat="1" hidden="1" outlineLevel="2" x14ac:dyDescent="0.3">
      <c r="A60" s="27"/>
      <c r="B60" s="11" t="str">
        <f>CONCATENATE("          ", "6258", " - ", "MEMBERSHIP DUES")</f>
        <v xml:space="preserve">          6258 - MEMBERSHIP DUES</v>
      </c>
      <c r="C60" s="11"/>
      <c r="D60" s="6"/>
      <c r="E60" s="2"/>
      <c r="F60" s="7">
        <f t="shared" si="28"/>
        <v>0</v>
      </c>
      <c r="G60" s="2"/>
      <c r="H60" s="6">
        <v>85</v>
      </c>
      <c r="I60" s="2"/>
      <c r="J60" s="7">
        <f t="shared" si="29"/>
        <v>4.7609445714029663E-4</v>
      </c>
      <c r="K60" s="2"/>
      <c r="L60" s="6">
        <f t="shared" si="30"/>
        <v>-85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170</v>
      </c>
      <c r="U60" s="2"/>
      <c r="V60" s="7">
        <f t="shared" si="33"/>
        <v>7.709645673755006E-4</v>
      </c>
      <c r="W60" s="2"/>
      <c r="X60" s="6">
        <f t="shared" si="34"/>
        <v>-170</v>
      </c>
      <c r="Y60" s="2"/>
      <c r="Z60" s="7">
        <f t="shared" si="35"/>
        <v>-1</v>
      </c>
    </row>
    <row r="61" spans="1:26" s="28" customFormat="1" outlineLevel="1" collapsed="1" x14ac:dyDescent="0.3">
      <c r="A61" s="29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SUM(OSRRefD22_11x_0)</f>
        <v>1601.24</v>
      </c>
      <c r="E61" s="1"/>
      <c r="F61" s="5">
        <f t="shared" si="28"/>
        <v>1.775269687461889E-2</v>
      </c>
      <c r="G61" s="1"/>
      <c r="H61" s="1">
        <f>SUM(OSRRefH22_11x_0)</f>
        <v>5800</v>
      </c>
      <c r="I61" s="1"/>
      <c r="J61" s="5">
        <f t="shared" si="29"/>
        <v>3.2486445310749651E-2</v>
      </c>
      <c r="K61" s="1"/>
      <c r="L61" s="1">
        <f t="shared" si="30"/>
        <v>-4198.76</v>
      </c>
      <c r="M61" s="1"/>
      <c r="N61" s="5">
        <f t="shared" si="31"/>
        <v>-0.72392413793103449</v>
      </c>
      <c r="O61" s="14"/>
      <c r="P61" s="1">
        <f>SUM(OSRRefP22_11x_0)</f>
        <v>1957.95</v>
      </c>
      <c r="Q61" s="1"/>
      <c r="R61" s="5">
        <f t="shared" si="32"/>
        <v>8.3016043959771389E-3</v>
      </c>
      <c r="S61" s="1"/>
      <c r="T61" s="1">
        <f>SUM(OSRRefT22_11x_0)</f>
        <v>11600</v>
      </c>
      <c r="U61" s="1"/>
      <c r="V61" s="5">
        <f t="shared" si="33"/>
        <v>5.2606994009151802E-2</v>
      </c>
      <c r="W61" s="1"/>
      <c r="X61" s="1">
        <f t="shared" si="34"/>
        <v>-9642.0499999999993</v>
      </c>
      <c r="Y61" s="1"/>
      <c r="Z61" s="5">
        <f t="shared" si="35"/>
        <v>-0.8312112068965517</v>
      </c>
    </row>
    <row r="62" spans="1:26" s="24" customFormat="1" hidden="1" outlineLevel="2" x14ac:dyDescent="0.3">
      <c r="A62" s="27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28"/>
        <v>0</v>
      </c>
      <c r="G62" s="2"/>
      <c r="H62" s="6">
        <v>5800</v>
      </c>
      <c r="I62" s="2"/>
      <c r="J62" s="7">
        <f t="shared" si="29"/>
        <v>3.2486445310749651E-2</v>
      </c>
      <c r="K62" s="2"/>
      <c r="L62" s="6">
        <f t="shared" si="30"/>
        <v>-5800</v>
      </c>
      <c r="M62" s="2"/>
      <c r="N62" s="7">
        <f t="shared" si="31"/>
        <v>-1</v>
      </c>
      <c r="O62" s="11"/>
      <c r="P62" s="6"/>
      <c r="Q62" s="2"/>
      <c r="R62" s="7">
        <f t="shared" si="32"/>
        <v>0</v>
      </c>
      <c r="S62" s="2"/>
      <c r="T62" s="6">
        <v>11600</v>
      </c>
      <c r="U62" s="2"/>
      <c r="V62" s="7">
        <f t="shared" si="33"/>
        <v>5.2606994009151802E-2</v>
      </c>
      <c r="W62" s="2"/>
      <c r="X62" s="6">
        <f t="shared" si="34"/>
        <v>-11600</v>
      </c>
      <c r="Y62" s="2"/>
      <c r="Z62" s="7">
        <f t="shared" si="35"/>
        <v>-1</v>
      </c>
    </row>
    <row r="63" spans="1:26" s="24" customFormat="1" hidden="1" outlineLevel="2" x14ac:dyDescent="0.3">
      <c r="A63" s="27"/>
      <c r="B63" s="11" t="str">
        <f>CONCATENATE("          ", "6241", " - ", "OFFICE EXPENSE")</f>
        <v xml:space="preserve">          6241 - OFFICE EXPENSE</v>
      </c>
      <c r="C63" s="11"/>
      <c r="D63" s="6">
        <v>1601.24</v>
      </c>
      <c r="E63" s="2"/>
      <c r="F63" s="7">
        <f t="shared" si="28"/>
        <v>1.775269687461889E-2</v>
      </c>
      <c r="G63" s="2"/>
      <c r="H63" s="6"/>
      <c r="I63" s="2"/>
      <c r="J63" s="7">
        <f t="shared" si="29"/>
        <v>0</v>
      </c>
      <c r="K63" s="2"/>
      <c r="L63" s="6">
        <f t="shared" si="30"/>
        <v>1601.24</v>
      </c>
      <c r="M63" s="2"/>
      <c r="N63" s="7">
        <f t="shared" si="31"/>
        <v>0</v>
      </c>
      <c r="O63" s="11"/>
      <c r="P63" s="6">
        <v>1957.95</v>
      </c>
      <c r="Q63" s="2"/>
      <c r="R63" s="7">
        <f t="shared" si="32"/>
        <v>8.3016043959771389E-3</v>
      </c>
      <c r="S63" s="2"/>
      <c r="T63" s="6"/>
      <c r="U63" s="2"/>
      <c r="V63" s="7">
        <f t="shared" si="33"/>
        <v>0</v>
      </c>
      <c r="W63" s="2"/>
      <c r="X63" s="6">
        <f t="shared" si="34"/>
        <v>1957.95</v>
      </c>
      <c r="Y63" s="2"/>
      <c r="Z63" s="7">
        <f t="shared" si="35"/>
        <v>0</v>
      </c>
    </row>
    <row r="64" spans="1:26" s="28" customFormat="1" outlineLevel="1" collapsed="1" x14ac:dyDescent="0.3">
      <c r="A64" s="29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SUM(OSRRefD22_12x_0)</f>
        <v>86.95</v>
      </c>
      <c r="E64" s="1"/>
      <c r="F64" s="5">
        <f t="shared" ref="F64:F65" si="36">IF(D$12=0,0,D64/D$12)</f>
        <v>9.6400101998957838E-4</v>
      </c>
      <c r="G64" s="1"/>
      <c r="H64" s="1">
        <f>SUM(OSRRefH22_12x_0)</f>
        <v>350</v>
      </c>
      <c r="I64" s="1"/>
      <c r="J64" s="5">
        <f t="shared" ref="J64:J65" si="37">IF(H$12=0,0,H64/H$12)</f>
        <v>1.9603889411659273E-3</v>
      </c>
      <c r="K64" s="1"/>
      <c r="L64" s="1">
        <f t="shared" ref="L64:L65" si="38">+D64-H64</f>
        <v>-263.05</v>
      </c>
      <c r="M64" s="1"/>
      <c r="N64" s="5">
        <f t="shared" ref="N64:N65" si="39">IF(H64=0,0,L64/H64)</f>
        <v>-0.75157142857142856</v>
      </c>
      <c r="O64" s="14"/>
      <c r="P64" s="1">
        <f>SUM(OSRRefP22_12x_0)</f>
        <v>-163.30000000000001</v>
      </c>
      <c r="Q64" s="1"/>
      <c r="R64" s="5">
        <f t="shared" ref="R64:R65" si="40">IF(P$12=0,0,P64/P$12)</f>
        <v>-6.9238335905567904E-4</v>
      </c>
      <c r="S64" s="1"/>
      <c r="T64" s="1">
        <f>SUM(OSRRefT22_12x_0)</f>
        <v>700</v>
      </c>
      <c r="U64" s="1"/>
      <c r="V64" s="5">
        <f t="shared" ref="V64:V65" si="41">IF(T$12=0,0,T64/T$12)</f>
        <v>3.1745599833108845E-3</v>
      </c>
      <c r="W64" s="1"/>
      <c r="X64" s="1">
        <f t="shared" ref="X64:X65" si="42">+P64-T64</f>
        <v>-863.3</v>
      </c>
      <c r="Y64" s="1"/>
      <c r="Z64" s="5">
        <f t="shared" ref="Z64:Z65" si="43">IF(T64=0,0,X64/T64)</f>
        <v>-1.2332857142857143</v>
      </c>
    </row>
    <row r="65" spans="1:26" s="24" customFormat="1" hidden="1" outlineLevel="2" x14ac:dyDescent="0.3">
      <c r="A65" s="27"/>
      <c r="B65" s="11" t="str">
        <f>CONCATENATE("          ", "6309", " - ", "TELEPHONE")</f>
        <v xml:space="preserve">          6309 - TELEPHONE</v>
      </c>
      <c r="C65" s="11"/>
      <c r="D65" s="6">
        <v>86.95</v>
      </c>
      <c r="E65" s="2"/>
      <c r="F65" s="7">
        <f t="shared" si="36"/>
        <v>9.6400101998957838E-4</v>
      </c>
      <c r="G65" s="2"/>
      <c r="H65" s="6">
        <v>350</v>
      </c>
      <c r="I65" s="2"/>
      <c r="J65" s="7">
        <f t="shared" si="37"/>
        <v>1.9603889411659273E-3</v>
      </c>
      <c r="K65" s="2"/>
      <c r="L65" s="6">
        <f t="shared" si="38"/>
        <v>-263.05</v>
      </c>
      <c r="M65" s="2"/>
      <c r="N65" s="7">
        <f t="shared" si="39"/>
        <v>-0.75157142857142856</v>
      </c>
      <c r="O65" s="11"/>
      <c r="P65" s="6">
        <v>-163.30000000000001</v>
      </c>
      <c r="Q65" s="2"/>
      <c r="R65" s="7">
        <f t="shared" si="40"/>
        <v>-6.9238335905567904E-4</v>
      </c>
      <c r="S65" s="2"/>
      <c r="T65" s="6">
        <v>700</v>
      </c>
      <c r="U65" s="2"/>
      <c r="V65" s="7">
        <f t="shared" si="41"/>
        <v>3.1745599833108845E-3</v>
      </c>
      <c r="W65" s="2"/>
      <c r="X65" s="6">
        <f t="shared" si="42"/>
        <v>-863.3</v>
      </c>
      <c r="Y65" s="2"/>
      <c r="Z65" s="7">
        <f t="shared" si="43"/>
        <v>-1.2332857142857143</v>
      </c>
    </row>
    <row r="66" spans="1:26" s="53" customFormat="1" x14ac:dyDescent="0.3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3">
      <c r="A67" s="10"/>
      <c r="B67" s="25" t="s">
        <v>293</v>
      </c>
      <c r="C67" s="10"/>
      <c r="D67" s="4">
        <f>SUM(OSRRefD25x_0)</f>
        <v>1456.68</v>
      </c>
      <c r="E67" s="4"/>
      <c r="F67" s="12">
        <f t="shared" ref="F67:F68" si="44">IF(D$12=0,0,D67/D$12)</f>
        <v>1.6149982815392976E-2</v>
      </c>
      <c r="G67" s="4"/>
      <c r="H67" s="4">
        <f>SUM(OSRRefH25x_0)</f>
        <v>2400</v>
      </c>
      <c r="I67" s="4"/>
      <c r="J67" s="12">
        <f t="shared" ref="J67:J68" si="45">IF(H$12=0,0,H67/H$12)</f>
        <v>1.3442667025137788E-2</v>
      </c>
      <c r="K67" s="4"/>
      <c r="L67" s="4">
        <f t="shared" ref="L67:L68" si="46">+D67-H67</f>
        <v>-943.31999999999994</v>
      </c>
      <c r="M67" s="4"/>
      <c r="N67" s="12">
        <f t="shared" ref="N67:N68" si="47">IF(H67=0,0,L67/H67)</f>
        <v>-0.39304999999999995</v>
      </c>
      <c r="O67" s="10"/>
      <c r="P67" s="4">
        <f>SUM(OSRRefP25x_0)</f>
        <v>1564.84</v>
      </c>
      <c r="Q67" s="4"/>
      <c r="R67" s="12">
        <f t="shared" ref="R67:R68" si="48">IF(P$12=0,0,P67/P$12)</f>
        <v>6.6348387972118101E-3</v>
      </c>
      <c r="S67" s="4"/>
      <c r="T67" s="4">
        <f>SUM(OSRRefT25x_0)</f>
        <v>4800</v>
      </c>
      <c r="U67" s="4"/>
      <c r="V67" s="12">
        <f t="shared" ref="V67:V68" si="49">IF(T$12=0,0,T67/T$12)</f>
        <v>2.1768411314131781E-2</v>
      </c>
      <c r="W67" s="4"/>
      <c r="X67" s="4">
        <f t="shared" ref="X67:X68" si="50">+P67-T67</f>
        <v>-3235.16</v>
      </c>
      <c r="Y67" s="4"/>
      <c r="Z67" s="12">
        <f t="shared" ref="Z67:Z68" si="51">IF(T67=0,0,X67/T67)</f>
        <v>-0.67399166666666666</v>
      </c>
    </row>
    <row r="68" spans="1:26" s="24" customFormat="1" hidden="1" outlineLevel="1" x14ac:dyDescent="0.3">
      <c r="A68" s="44"/>
      <c r="B68" s="11" t="str">
        <f>CONCATENATE("          ", "9150", " - ", "MISC. INCOME")</f>
        <v xml:space="preserve">          9150 - MISC. INCOME</v>
      </c>
      <c r="C68" s="11"/>
      <c r="D68" s="2">
        <f>--1456.68</f>
        <v>1456.68</v>
      </c>
      <c r="E68" s="2"/>
      <c r="F68" s="19">
        <f t="shared" si="44"/>
        <v>1.6149982815392976E-2</v>
      </c>
      <c r="G68" s="2"/>
      <c r="H68" s="2">
        <v>2400</v>
      </c>
      <c r="I68" s="2"/>
      <c r="J68" s="19">
        <f t="shared" si="45"/>
        <v>1.3442667025137788E-2</v>
      </c>
      <c r="K68" s="2"/>
      <c r="L68" s="2">
        <f t="shared" si="46"/>
        <v>-943.31999999999994</v>
      </c>
      <c r="M68" s="2"/>
      <c r="N68" s="19">
        <f t="shared" si="47"/>
        <v>-0.39304999999999995</v>
      </c>
      <c r="O68" s="11"/>
      <c r="P68" s="2">
        <f>--1564.84</f>
        <v>1564.84</v>
      </c>
      <c r="Q68" s="2"/>
      <c r="R68" s="19">
        <f t="shared" si="48"/>
        <v>6.6348387972118101E-3</v>
      </c>
      <c r="S68" s="2"/>
      <c r="T68" s="2">
        <v>4800</v>
      </c>
      <c r="U68" s="2"/>
      <c r="V68" s="19">
        <f t="shared" si="49"/>
        <v>2.1768411314131781E-2</v>
      </c>
      <c r="W68" s="2"/>
      <c r="X68" s="2">
        <f t="shared" si="50"/>
        <v>-3235.16</v>
      </c>
      <c r="Y68" s="2"/>
      <c r="Z68" s="19">
        <f t="shared" si="51"/>
        <v>-0.67399166666666666</v>
      </c>
    </row>
    <row r="69" spans="1:26" x14ac:dyDescent="0.3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3">
      <c r="A70" s="10"/>
      <c r="B70" s="26" t="s">
        <v>277</v>
      </c>
      <c r="C70" s="26"/>
      <c r="D70" s="21">
        <f>+D17-D19+D67</f>
        <v>67291.799999999988</v>
      </c>
      <c r="E70" s="13"/>
      <c r="F70" s="20">
        <f>IF(D$12=0,0,D70/D$12)</f>
        <v>0.74605363814761005</v>
      </c>
      <c r="G70" s="13"/>
      <c r="H70" s="21">
        <f>+H17-H19+H67</f>
        <v>18247.083795822313</v>
      </c>
      <c r="I70" s="13"/>
      <c r="J70" s="20">
        <f>IF(H$12=0,0,H70/H$12)</f>
        <v>0.10220394651959444</v>
      </c>
      <c r="K70" s="16"/>
      <c r="L70" s="21">
        <f>+D70-H70</f>
        <v>49044.716204177676</v>
      </c>
      <c r="M70" s="16"/>
      <c r="N70" s="20">
        <f>IF(H70=0,0,L70/H70)</f>
        <v>2.687811200571486</v>
      </c>
      <c r="O70" s="25"/>
      <c r="P70" s="21">
        <f>+P17-P19+P67</f>
        <v>67291.939999999973</v>
      </c>
      <c r="Q70" s="13"/>
      <c r="R70" s="20">
        <f>IF(P$12=0,0,P70/P$12)</f>
        <v>0.28531426487797423</v>
      </c>
      <c r="S70" s="13"/>
      <c r="T70" s="21">
        <f>+T17-T19+T67</f>
        <v>22536.003934350214</v>
      </c>
      <c r="U70" s="13"/>
      <c r="V70" s="20">
        <f>IF(T$12=0,0,T70/T$12)</f>
        <v>0.10220270896246407</v>
      </c>
      <c r="W70" s="16"/>
      <c r="X70" s="21">
        <f>+P70-T70</f>
        <v>44755.936065649759</v>
      </c>
      <c r="Y70" s="16"/>
      <c r="Z70" s="20">
        <f>IF(T70=0,0,X70/T70)</f>
        <v>1.9859748070699925</v>
      </c>
    </row>
    <row r="71" spans="1:26" x14ac:dyDescent="0.3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">
      <c r="A72" s="52"/>
      <c r="B72" s="10" t="s">
        <v>128</v>
      </c>
      <c r="C72" s="10"/>
      <c r="D72" s="4">
        <v>-32047.93</v>
      </c>
      <c r="E72" s="4"/>
      <c r="F72" s="12">
        <f>IF(D$12=0,0,D72/D$12)</f>
        <v>-0.35531037617659122</v>
      </c>
      <c r="G72" s="4"/>
      <c r="H72" s="4">
        <v>9497</v>
      </c>
      <c r="I72" s="4"/>
      <c r="J72" s="12">
        <f>IF(H$12=0,0,H72/H$12)</f>
        <v>5.3193753640722319E-2</v>
      </c>
      <c r="K72" s="4"/>
      <c r="L72" s="4">
        <f>+D72-H72</f>
        <v>-41544.93</v>
      </c>
      <c r="M72" s="4"/>
      <c r="N72" s="12">
        <f>IF(H72=0,0,L72/H72)</f>
        <v>-4.3745319574602508</v>
      </c>
      <c r="O72" s="10"/>
      <c r="P72" s="4">
        <v>35244.080000000002</v>
      </c>
      <c r="Q72" s="4"/>
      <c r="R72" s="12">
        <f>IF(P$12=0,0,P72/P$12)</f>
        <v>0.14943303427573223</v>
      </c>
      <c r="S72" s="4"/>
      <c r="T72" s="4">
        <v>24695</v>
      </c>
      <c r="U72" s="4"/>
      <c r="V72" s="12">
        <f>IF(T$12=0,0,T72/T$12)</f>
        <v>0.11199394112551757</v>
      </c>
      <c r="W72" s="4"/>
      <c r="X72" s="4">
        <f>+P72-T72</f>
        <v>10549.080000000002</v>
      </c>
      <c r="Y72" s="4"/>
      <c r="Z72" s="12">
        <f>IF(T72=0,0,X72/T72)</f>
        <v>0.42717473172707032</v>
      </c>
    </row>
    <row r="73" spans="1:26" x14ac:dyDescent="0.3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35">
      <c r="A74" s="10"/>
      <c r="B74" s="26" t="s">
        <v>126</v>
      </c>
      <c r="C74" s="26"/>
      <c r="D74" s="30">
        <f>+D70-D72</f>
        <v>99339.729999999981</v>
      </c>
      <c r="E74" s="13"/>
      <c r="F74" s="35">
        <f>IF(D$12=0,0,D74/D$12)</f>
        <v>1.1013640143242012</v>
      </c>
      <c r="G74" s="13"/>
      <c r="H74" s="30">
        <f>+H70-H72</f>
        <v>8750.0837958223128</v>
      </c>
      <c r="I74" s="13"/>
      <c r="J74" s="35">
        <f>IF(H$12=0,0,H74/H$12)</f>
        <v>4.9010192878872122E-2</v>
      </c>
      <c r="K74" s="16"/>
      <c r="L74" s="30">
        <f>D74-H74</f>
        <v>90589.646204177669</v>
      </c>
      <c r="M74" s="16"/>
      <c r="N74" s="35">
        <f>IF(H74=0,0,L74/H74)</f>
        <v>10.353003276086255</v>
      </c>
      <c r="O74" s="25"/>
      <c r="P74" s="30">
        <f>+P70-P72</f>
        <v>32047.859999999971</v>
      </c>
      <c r="Q74" s="13"/>
      <c r="R74" s="35">
        <f>IF(P$12=0,0,P74/P$12)</f>
        <v>0.13588123060224197</v>
      </c>
      <c r="S74" s="13"/>
      <c r="T74" s="30">
        <f>+T70-T72</f>
        <v>-2158.996065649786</v>
      </c>
      <c r="U74" s="13"/>
      <c r="V74" s="35">
        <f>IF(T$12=0,0,T74/T$12)</f>
        <v>-9.7912321630534999E-3</v>
      </c>
      <c r="W74" s="16"/>
      <c r="X74" s="30">
        <f>P74-T74</f>
        <v>34206.856065649758</v>
      </c>
      <c r="Y74" s="16"/>
      <c r="Z74" s="35">
        <f>IF(T74=0,0,X74/T74)</f>
        <v>-15.843871422412542</v>
      </c>
    </row>
    <row r="75" spans="1:26" ht="15" thickTop="1" x14ac:dyDescent="0.3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3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35">
      <c r="A77" s="10"/>
      <c r="B77" s="26" t="s">
        <v>294</v>
      </c>
      <c r="C77" s="26"/>
      <c r="D77" s="32">
        <f>SUM(D74:D76)</f>
        <v>99339.729999999981</v>
      </c>
      <c r="E77" s="13"/>
      <c r="F77" s="34">
        <f>IF(D$12=0,0,D77/D$12)</f>
        <v>1.1013640143242012</v>
      </c>
      <c r="G77" s="13"/>
      <c r="H77" s="32">
        <f>SUM(H74:H76)</f>
        <v>8750.0837958223128</v>
      </c>
      <c r="I77" s="13"/>
      <c r="J77" s="34">
        <f>IF(H$12=0,0,H77/H$12)</f>
        <v>4.9010192878872122E-2</v>
      </c>
      <c r="K77" s="16"/>
      <c r="L77" s="32">
        <f>+D77-H77</f>
        <v>90589.646204177669</v>
      </c>
      <c r="M77" s="16"/>
      <c r="N77" s="34">
        <f>IF(H77=0,0,L77/H77)</f>
        <v>10.353003276086255</v>
      </c>
      <c r="O77" s="25"/>
      <c r="P77" s="32">
        <f>SUM(P74:P76)</f>
        <v>32047.859999999971</v>
      </c>
      <c r="Q77" s="13"/>
      <c r="R77" s="34">
        <f>IF(P$12=0,0,P77/P$12)</f>
        <v>0.13588123060224197</v>
      </c>
      <c r="S77" s="13"/>
      <c r="T77" s="32">
        <f>SUM(T74:T76)</f>
        <v>-2158.996065649786</v>
      </c>
      <c r="U77" s="13"/>
      <c r="V77" s="34">
        <f>IF(T$12=0,0,T77/T$12)</f>
        <v>-9.7912321630534999E-3</v>
      </c>
      <c r="W77" s="16"/>
      <c r="X77" s="32">
        <f>+P77-T77</f>
        <v>34206.856065649758</v>
      </c>
      <c r="Y77" s="16"/>
      <c r="Z77" s="34">
        <f>IF(T77=0,0,X77/T77)</f>
        <v>-15.843871422412542</v>
      </c>
    </row>
    <row r="78" spans="1:26" ht="15" thickTop="1" x14ac:dyDescent="0.3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3">
      <c r="A79" s="9"/>
      <c r="B79" s="61">
        <v>44470.835499687499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3">
      <c r="A80" s="9"/>
      <c r="B80" s="58" t="s">
        <v>56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3">
      <c r="A81" s="9"/>
      <c r="B81" s="55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60" t="s">
        <v>23</v>
      </c>
    </row>
    <row r="3" spans="1:26" x14ac:dyDescent="0.3">
      <c r="D3" s="60" t="s">
        <v>237</v>
      </c>
      <c r="E3" s="18"/>
      <c r="F3" s="47"/>
      <c r="G3" s="18"/>
      <c r="H3" s="18"/>
      <c r="I3" s="18"/>
      <c r="J3" s="40"/>
      <c r="K3" s="18"/>
      <c r="L3" s="18"/>
      <c r="M3" s="18"/>
      <c r="N3" s="47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40"/>
      <c r="K4" s="18"/>
      <c r="L4" s="18"/>
      <c r="M4" s="18"/>
      <c r="N4" s="47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7"/>
      <c r="G5" s="18"/>
      <c r="H5" s="18"/>
      <c r="I5" s="18"/>
      <c r="J5" s="40"/>
      <c r="K5" s="18"/>
      <c r="L5" s="18"/>
      <c r="M5" s="18"/>
      <c r="N5" s="47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3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7"/>
      <c r="G6" s="18"/>
      <c r="H6" s="18"/>
      <c r="I6" s="18"/>
      <c r="J6" s="40"/>
      <c r="K6" s="18"/>
      <c r="L6" s="18"/>
      <c r="M6" s="18"/>
      <c r="N6" s="47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3">
      <c r="B7" s="62"/>
    </row>
    <row r="8" spans="1:26" x14ac:dyDescent="0.3">
      <c r="B8" s="62"/>
    </row>
    <row r="9" spans="1:26" x14ac:dyDescent="0.3">
      <c r="B9" s="9"/>
      <c r="C9" s="9"/>
      <c r="D9" s="15" t="s">
        <v>292</v>
      </c>
      <c r="E9" s="15"/>
      <c r="F9" s="39"/>
      <c r="G9" s="15"/>
      <c r="H9" s="15"/>
      <c r="I9" s="15"/>
      <c r="J9" s="50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50"/>
      <c r="W9" s="15"/>
      <c r="X9" s="15"/>
      <c r="Y9" s="15"/>
      <c r="Z9" s="39"/>
    </row>
    <row r="10" spans="1:26" x14ac:dyDescent="0.3">
      <c r="A10" s="10"/>
      <c r="B10" s="57"/>
      <c r="C10" s="10"/>
      <c r="D10" s="43" t="s">
        <v>57</v>
      </c>
      <c r="E10" s="33"/>
      <c r="F10" s="37" t="s">
        <v>40</v>
      </c>
      <c r="G10" s="33"/>
      <c r="H10" s="49" t="s">
        <v>238</v>
      </c>
      <c r="I10" s="33"/>
      <c r="J10" s="51" t="s">
        <v>58</v>
      </c>
      <c r="K10" s="10"/>
      <c r="L10" s="43" t="s">
        <v>127</v>
      </c>
      <c r="M10" s="10"/>
      <c r="N10" s="37" t="s">
        <v>258</v>
      </c>
      <c r="O10" s="10"/>
      <c r="P10" s="59" t="s">
        <v>57</v>
      </c>
      <c r="Q10" s="33"/>
      <c r="R10" s="37" t="s">
        <v>40</v>
      </c>
      <c r="S10" s="33"/>
      <c r="T10" s="49" t="s">
        <v>238</v>
      </c>
      <c r="U10" s="33"/>
      <c r="V10" s="51" t="s">
        <v>58</v>
      </c>
      <c r="W10" s="10"/>
      <c r="X10" s="43" t="s">
        <v>127</v>
      </c>
      <c r="Y10" s="10"/>
      <c r="Z10" s="37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0" t="e">
        <f ca="1">+D27-D29</f>
        <v>#NAME?</v>
      </c>
      <c r="E31" s="13"/>
      <c r="F31" s="35" t="e">
        <f ca="1">IF(D$12=0,0,D31/D$12)</f>
        <v>#NAME?</v>
      </c>
      <c r="G31" s="13"/>
      <c r="H31" s="30" t="e">
        <f ca="1">+H27-H29</f>
        <v>#NAME?</v>
      </c>
      <c r="I31" s="13"/>
      <c r="J31" s="35" t="e">
        <f ca="1">IF(H$12=0,0,H31/H$12)</f>
        <v>#NAME?</v>
      </c>
      <c r="K31" s="16"/>
      <c r="L31" s="30" t="e">
        <f ca="1">D31-H31</f>
        <v>#NAME?</v>
      </c>
      <c r="M31" s="16"/>
      <c r="N31" s="35" t="e">
        <f ca="1">IF(H31=0,0,L31/H31)</f>
        <v>#NAME?</v>
      </c>
      <c r="O31" s="25"/>
      <c r="P31" s="30" t="e">
        <f ca="1">+P27-P29</f>
        <v>#NAME?</v>
      </c>
      <c r="Q31" s="13"/>
      <c r="R31" s="35" t="e">
        <f ca="1">IF(P$12=0,0,P31/P$12)</f>
        <v>#NAME?</v>
      </c>
      <c r="S31" s="13"/>
      <c r="T31" s="30" t="e">
        <f ca="1">+T27-T29</f>
        <v>#NAME?</v>
      </c>
      <c r="U31" s="13"/>
      <c r="V31" s="35" t="e">
        <f ca="1">IF(T$12=0,0,T31/T$12)</f>
        <v>#NAME?</v>
      </c>
      <c r="W31" s="16"/>
      <c r="X31" s="30" t="e">
        <f ca="1">P31-T31</f>
        <v>#NAME?</v>
      </c>
      <c r="Y31" s="16"/>
      <c r="Z31" s="35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2" t="e">
        <f ca="1">SUM(D31:D35)</f>
        <v>#NAME?</v>
      </c>
      <c r="E36" s="13"/>
      <c r="F36" s="34" t="e">
        <f ca="1">IF(D$12=0,0,D36/D$12)</f>
        <v>#NAME?</v>
      </c>
      <c r="G36" s="13"/>
      <c r="H36" s="32" t="e">
        <f ca="1">SUM(H31:H35)</f>
        <v>#NAME?</v>
      </c>
      <c r="I36" s="13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5"/>
      <c r="P36" s="32" t="e">
        <f ca="1">SUM(P31:P35)</f>
        <v>#NAME?</v>
      </c>
      <c r="Q36" s="13"/>
      <c r="R36" s="34" t="e">
        <f ca="1">IF(P$12=0,0,P36/P$12)</f>
        <v>#NAME?</v>
      </c>
      <c r="S36" s="13"/>
      <c r="T36" s="32" t="e">
        <f ca="1">SUM(T31:T35)</f>
        <v>#NAME?</v>
      </c>
      <c r="U36" s="13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93</vt:i4>
      </vt:variant>
      <vt:variant>
        <vt:lpstr>Named Ranges</vt:lpstr>
      </vt:variant>
      <vt:variant>
        <vt:i4>3270</vt:i4>
      </vt:variant>
    </vt:vector>
  </HeadingPairs>
  <TitlesOfParts>
    <vt:vector size="3363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320</vt:lpstr>
      <vt:lpstr>310</vt:lpstr>
      <vt:lpstr>309</vt:lpstr>
      <vt:lpstr>313</vt:lpstr>
      <vt:lpstr>321</vt:lpstr>
      <vt:lpstr>325</vt:lpstr>
      <vt:lpstr>327</vt:lpstr>
      <vt:lpstr>Div 4</vt:lpstr>
      <vt:lpstr>310 &amp; 491</vt:lpstr>
      <vt:lpstr>491</vt:lpstr>
      <vt:lpstr>405</vt:lpstr>
      <vt:lpstr>411</vt:lpstr>
      <vt:lpstr>412</vt:lpstr>
      <vt:lpstr>413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'415'!OSRRefD13x_0</vt:lpstr>
      <vt:lpstr>'418'!OSRRefD13x_0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'411'!OSRRefD22_0x_0</vt:lpstr>
      <vt:lpstr>'412'!OSRRefD22_0x_0</vt:lpstr>
      <vt:lpstr>'413'!OSRRefD22_0x_0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'321'!OSRRefD22_10x_0</vt:lpstr>
      <vt:lpstr>'325'!OSRRefD22_10x_0</vt:lpstr>
      <vt:lpstr>'326'!OSRRefD22_10x_0</vt:lpstr>
      <vt:lpstr>'330'!OSRRefD22_10x_0</vt:lpstr>
      <vt:lpstr>'331'!OSRRefD22_10x_0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'321'!OSRRefD22_11x_0</vt:lpstr>
      <vt:lpstr>'325'!OSRRefD22_11x_0</vt:lpstr>
      <vt:lpstr>'326'!OSRRefD22_11x_0</vt:lpstr>
      <vt:lpstr>'330'!OSRRefD22_11x_0</vt:lpstr>
      <vt:lpstr>'331'!OSRRefD22_11x_0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'310'!OSRRefD22_12x_0</vt:lpstr>
      <vt:lpstr>'310 &amp; 491'!OSRRefD22_12x_0</vt:lpstr>
      <vt:lpstr>'315'!OSRRefD22_12x_0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'203'!OSRRefD22_13x_0</vt:lpstr>
      <vt:lpstr>'300'!OSRRefD22_13x_0</vt:lpstr>
      <vt:lpstr>'300 &amp; 317'!OSRRefD22_13x_0</vt:lpstr>
      <vt:lpstr>'301'!OSRRefD22_13x_0</vt:lpstr>
      <vt:lpstr>'310'!OSRRefD22_13x_0</vt:lpstr>
      <vt:lpstr>'310 &amp; 491'!OSRRefD22_13x_0</vt:lpstr>
      <vt:lpstr>'315'!OSRRefD22_13x_0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'415'!OSRRefD22_14x_0</vt:lpstr>
      <vt:lpstr>'418'!OSRRefD22_14x_0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'326'!OSRRefD22_15x_0</vt:lpstr>
      <vt:lpstr>'331'!OSRRefD22_15x_0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'326'!OSRRefD22_16x_0</vt:lpstr>
      <vt:lpstr>'331'!OSRRefD22_16x_0</vt:lpstr>
      <vt:lpstr>'415'!OSRRefD22_16x_0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'326'!OSRRefD22_17x_0</vt:lpstr>
      <vt:lpstr>'331'!OSRRefD22_17x_0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'411'!OSRRefD22_1x_0</vt:lpstr>
      <vt:lpstr>'412'!OSRRefD22_1x_0</vt:lpstr>
      <vt:lpstr>'413'!OSRRefD22_1x_0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'331'!OSRRefD22_20x_0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'Div 3'!OSRRefD22_22x_0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'411'!OSRRefD22_2x_0</vt:lpstr>
      <vt:lpstr>'412'!OSRRefD22_2x_0</vt:lpstr>
      <vt:lpstr>'415'!OSRRefD22_2x_0</vt:lpstr>
      <vt:lpstr>'418'!OSRRefD22_2x_0</vt:lpstr>
      <vt:lpstr>'423'!OSRRefD22_2x_0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'411'!OSRRefD22_3x_0</vt:lpstr>
      <vt:lpstr>'415'!OSRRefD22_3x_0</vt:lpstr>
      <vt:lpstr>'418'!OSRRefD22_3x_0</vt:lpstr>
      <vt:lpstr>'423'!OSRRefD22_3x_0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'411'!OSRRefD22_4x_0</vt:lpstr>
      <vt:lpstr>'415'!OSRRefD22_4x_0</vt:lpstr>
      <vt:lpstr>'418'!OSRRefD22_4x_0</vt:lpstr>
      <vt:lpstr>'423'!OSRRefD22_4x_0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'415'!OSRRefD22_5x_0</vt:lpstr>
      <vt:lpstr>'418'!OSRRefD22_5x_0</vt:lpstr>
      <vt:lpstr>'423'!OSRRefD22_5x_0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'411'!OSRRefD22x_0</vt:lpstr>
      <vt:lpstr>'412'!OSRRefD22x_0</vt:lpstr>
      <vt:lpstr>'413'!OSRRefD22x_0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'415'!OSRRefH13x_0</vt:lpstr>
      <vt:lpstr>'418'!OSRRefH13x_0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'411'!OSRRefH22_0x_0</vt:lpstr>
      <vt:lpstr>'412'!OSRRefH22_0x_0</vt:lpstr>
      <vt:lpstr>'413'!OSRRefH22_0x_0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'321'!OSRRefH22_10x_0</vt:lpstr>
      <vt:lpstr>'325'!OSRRefH22_10x_0</vt:lpstr>
      <vt:lpstr>'326'!OSRRefH22_10x_0</vt:lpstr>
      <vt:lpstr>'330'!OSRRefH22_10x_0</vt:lpstr>
      <vt:lpstr>'331'!OSRRefH22_10x_0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'321'!OSRRefH22_11x_0</vt:lpstr>
      <vt:lpstr>'325'!OSRRefH22_11x_0</vt:lpstr>
      <vt:lpstr>'326'!OSRRefH22_11x_0</vt:lpstr>
      <vt:lpstr>'330'!OSRRefH22_11x_0</vt:lpstr>
      <vt:lpstr>'331'!OSRRefH22_11x_0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'310'!OSRRefH22_12x_0</vt:lpstr>
      <vt:lpstr>'310 &amp; 491'!OSRRefH22_12x_0</vt:lpstr>
      <vt:lpstr>'315'!OSRRefH22_12x_0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'203'!OSRRefH22_13x_0</vt:lpstr>
      <vt:lpstr>'300'!OSRRefH22_13x_0</vt:lpstr>
      <vt:lpstr>'300 &amp; 317'!OSRRefH22_13x_0</vt:lpstr>
      <vt:lpstr>'301'!OSRRefH22_13x_0</vt:lpstr>
      <vt:lpstr>'310'!OSRRefH22_13x_0</vt:lpstr>
      <vt:lpstr>'310 &amp; 491'!OSRRefH22_13x_0</vt:lpstr>
      <vt:lpstr>'315'!OSRRefH22_13x_0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'415'!OSRRefH22_14x_0</vt:lpstr>
      <vt:lpstr>'418'!OSRRefH22_14x_0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'326'!OSRRefH22_15x_0</vt:lpstr>
      <vt:lpstr>'331'!OSRRefH22_15x_0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'326'!OSRRefH22_16x_0</vt:lpstr>
      <vt:lpstr>'331'!OSRRefH22_16x_0</vt:lpstr>
      <vt:lpstr>'415'!OSRRefH22_16x_0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'326'!OSRRefH22_17x_0</vt:lpstr>
      <vt:lpstr>'331'!OSRRefH22_17x_0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'411'!OSRRefH22_1x_0</vt:lpstr>
      <vt:lpstr>'412'!OSRRefH22_1x_0</vt:lpstr>
      <vt:lpstr>'413'!OSRRefH22_1x_0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'331'!OSRRefH22_20x_0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'Div 3'!OSRRefH22_22x_0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'411'!OSRRefH22_2x_0</vt:lpstr>
      <vt:lpstr>'412'!OSRRefH22_2x_0</vt:lpstr>
      <vt:lpstr>'415'!OSRRefH22_2x_0</vt:lpstr>
      <vt:lpstr>'418'!OSRRefH22_2x_0</vt:lpstr>
      <vt:lpstr>'423'!OSRRefH22_2x_0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'411'!OSRRefH22_3x_0</vt:lpstr>
      <vt:lpstr>'415'!OSRRefH22_3x_0</vt:lpstr>
      <vt:lpstr>'418'!OSRRefH22_3x_0</vt:lpstr>
      <vt:lpstr>'423'!OSRRefH22_3x_0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'411'!OSRRefH22_4x_0</vt:lpstr>
      <vt:lpstr>'415'!OSRRefH22_4x_0</vt:lpstr>
      <vt:lpstr>'418'!OSRRefH22_4x_0</vt:lpstr>
      <vt:lpstr>'423'!OSRRefH22_4x_0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'415'!OSRRefH22_5x_0</vt:lpstr>
      <vt:lpstr>'418'!OSRRefH22_5x_0</vt:lpstr>
      <vt:lpstr>'423'!OSRRefH22_5x_0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'411'!OSRRefH22x_0</vt:lpstr>
      <vt:lpstr>'412'!OSRRefH22x_0</vt:lpstr>
      <vt:lpstr>'413'!OSRRefH22x_0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'415'!OSRRefP13x_0</vt:lpstr>
      <vt:lpstr>'418'!OSRRefP13x_0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'411'!OSRRefP22_0x_0</vt:lpstr>
      <vt:lpstr>'412'!OSRRefP22_0x_0</vt:lpstr>
      <vt:lpstr>'413'!OSRRefP22_0x_0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'321'!OSRRefP22_10x_0</vt:lpstr>
      <vt:lpstr>'325'!OSRRefP22_10x_0</vt:lpstr>
      <vt:lpstr>'326'!OSRRefP22_10x_0</vt:lpstr>
      <vt:lpstr>'330'!OSRRefP22_10x_0</vt:lpstr>
      <vt:lpstr>'331'!OSRRefP22_10x_0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'321'!OSRRefP22_11x_0</vt:lpstr>
      <vt:lpstr>'325'!OSRRefP22_11x_0</vt:lpstr>
      <vt:lpstr>'326'!OSRRefP22_11x_0</vt:lpstr>
      <vt:lpstr>'330'!OSRRefP22_11x_0</vt:lpstr>
      <vt:lpstr>'331'!OSRRefP22_11x_0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'310'!OSRRefP22_12x_0</vt:lpstr>
      <vt:lpstr>'310 &amp; 491'!OSRRefP22_12x_0</vt:lpstr>
      <vt:lpstr>'315'!OSRRefP22_12x_0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'203'!OSRRefP22_13x_0</vt:lpstr>
      <vt:lpstr>'300'!OSRRefP22_13x_0</vt:lpstr>
      <vt:lpstr>'300 &amp; 317'!OSRRefP22_13x_0</vt:lpstr>
      <vt:lpstr>'301'!OSRRefP22_13x_0</vt:lpstr>
      <vt:lpstr>'310'!OSRRefP22_13x_0</vt:lpstr>
      <vt:lpstr>'310 &amp; 491'!OSRRefP22_13x_0</vt:lpstr>
      <vt:lpstr>'315'!OSRRefP22_13x_0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'415'!OSRRefP22_14x_0</vt:lpstr>
      <vt:lpstr>'418'!OSRRefP22_14x_0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'326'!OSRRefP22_15x_0</vt:lpstr>
      <vt:lpstr>'331'!OSRRefP22_15x_0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'326'!OSRRefP22_16x_0</vt:lpstr>
      <vt:lpstr>'331'!OSRRefP22_16x_0</vt:lpstr>
      <vt:lpstr>'415'!OSRRefP22_16x_0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'326'!OSRRefP22_17x_0</vt:lpstr>
      <vt:lpstr>'331'!OSRRefP22_17x_0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'411'!OSRRefP22_1x_0</vt:lpstr>
      <vt:lpstr>'412'!OSRRefP22_1x_0</vt:lpstr>
      <vt:lpstr>'413'!OSRRefP22_1x_0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'331'!OSRRefP22_20x_0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'Div 3'!OSRRefP22_22x_0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'411'!OSRRefP22_2x_0</vt:lpstr>
      <vt:lpstr>'412'!OSRRefP22_2x_0</vt:lpstr>
      <vt:lpstr>'415'!OSRRefP22_2x_0</vt:lpstr>
      <vt:lpstr>'418'!OSRRefP22_2x_0</vt:lpstr>
      <vt:lpstr>'423'!OSRRefP22_2x_0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'411'!OSRRefP22_3x_0</vt:lpstr>
      <vt:lpstr>'415'!OSRRefP22_3x_0</vt:lpstr>
      <vt:lpstr>'418'!OSRRefP22_3x_0</vt:lpstr>
      <vt:lpstr>'423'!OSRRefP22_3x_0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'411'!OSRRefP22_4x_0</vt:lpstr>
      <vt:lpstr>'415'!OSRRefP22_4x_0</vt:lpstr>
      <vt:lpstr>'418'!OSRRefP22_4x_0</vt:lpstr>
      <vt:lpstr>'423'!OSRRefP22_4x_0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'415'!OSRRefP22_5x_0</vt:lpstr>
      <vt:lpstr>'418'!OSRRefP22_5x_0</vt:lpstr>
      <vt:lpstr>'423'!OSRRefP22_5x_0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'411'!OSRRefP22x_0</vt:lpstr>
      <vt:lpstr>'412'!OSRRefP22x_0</vt:lpstr>
      <vt:lpstr>'413'!OSRRefP22x_0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'415'!OSRRefT13x_0</vt:lpstr>
      <vt:lpstr>'418'!OSRRefT13x_0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'411'!OSRRefT22_0x_0</vt:lpstr>
      <vt:lpstr>'412'!OSRRefT22_0x_0</vt:lpstr>
      <vt:lpstr>'413'!OSRRefT22_0x_0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'321'!OSRRefT22_10x_0</vt:lpstr>
      <vt:lpstr>'325'!OSRRefT22_10x_0</vt:lpstr>
      <vt:lpstr>'326'!OSRRefT22_10x_0</vt:lpstr>
      <vt:lpstr>'330'!OSRRefT22_10x_0</vt:lpstr>
      <vt:lpstr>'331'!OSRRefT22_10x_0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'321'!OSRRefT22_11x_0</vt:lpstr>
      <vt:lpstr>'325'!OSRRefT22_11x_0</vt:lpstr>
      <vt:lpstr>'326'!OSRRefT22_11x_0</vt:lpstr>
      <vt:lpstr>'330'!OSRRefT22_11x_0</vt:lpstr>
      <vt:lpstr>'331'!OSRRefT22_11x_0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'310'!OSRRefT22_12x_0</vt:lpstr>
      <vt:lpstr>'310 &amp; 491'!OSRRefT22_12x_0</vt:lpstr>
      <vt:lpstr>'315'!OSRRefT22_12x_0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'203'!OSRRefT22_13x_0</vt:lpstr>
      <vt:lpstr>'300'!OSRRefT22_13x_0</vt:lpstr>
      <vt:lpstr>'300 &amp; 317'!OSRRefT22_13x_0</vt:lpstr>
      <vt:lpstr>'301'!OSRRefT22_13x_0</vt:lpstr>
      <vt:lpstr>'310'!OSRRefT22_13x_0</vt:lpstr>
      <vt:lpstr>'310 &amp; 491'!OSRRefT22_13x_0</vt:lpstr>
      <vt:lpstr>'315'!OSRRefT22_13x_0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'415'!OSRRefT22_14x_0</vt:lpstr>
      <vt:lpstr>'418'!OSRRefT22_14x_0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'326'!OSRRefT22_15x_0</vt:lpstr>
      <vt:lpstr>'331'!OSRRefT22_15x_0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'326'!OSRRefT22_16x_0</vt:lpstr>
      <vt:lpstr>'331'!OSRRefT22_16x_0</vt:lpstr>
      <vt:lpstr>'415'!OSRRefT22_16x_0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'326'!OSRRefT22_17x_0</vt:lpstr>
      <vt:lpstr>'331'!OSRRefT22_17x_0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'411'!OSRRefT22_1x_0</vt:lpstr>
      <vt:lpstr>'412'!OSRRefT22_1x_0</vt:lpstr>
      <vt:lpstr>'413'!OSRRefT22_1x_0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'331'!OSRRefT22_20x_0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'Div 3'!OSRRefT22_22x_0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'411'!OSRRefT22_2x_0</vt:lpstr>
      <vt:lpstr>'412'!OSRRefT22_2x_0</vt:lpstr>
      <vt:lpstr>'415'!OSRRefT22_2x_0</vt:lpstr>
      <vt:lpstr>'418'!OSRRefT22_2x_0</vt:lpstr>
      <vt:lpstr>'423'!OSRRefT22_2x_0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'411'!OSRRefT22_3x_0</vt:lpstr>
      <vt:lpstr>'415'!OSRRefT22_3x_0</vt:lpstr>
      <vt:lpstr>'418'!OSRRefT22_3x_0</vt:lpstr>
      <vt:lpstr>'423'!OSRRefT22_3x_0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'411'!OSRRefT22_4x_0</vt:lpstr>
      <vt:lpstr>'415'!OSRRefT22_4x_0</vt:lpstr>
      <vt:lpstr>'418'!OSRRefT22_4x_0</vt:lpstr>
      <vt:lpstr>'423'!OSRRefT22_4x_0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'415'!OSRRefT22_5x_0</vt:lpstr>
      <vt:lpstr>'418'!OSRRefT22_5x_0</vt:lpstr>
      <vt:lpstr>'423'!OSRRefT22_5x_0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'411'!OSRRefT22x_0</vt:lpstr>
      <vt:lpstr>'412'!OSRRefT22x_0</vt:lpstr>
      <vt:lpstr>'413'!OSRRefT22x_0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'320'!Print_Area</vt:lpstr>
      <vt:lpstr>'321'!Print_Area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'411'!Print_Area</vt:lpstr>
      <vt:lpstr>'412'!Print_Area</vt:lpstr>
      <vt:lpstr>'413'!Print_Area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'320'!Print_Titles</vt:lpstr>
      <vt:lpstr>'321'!Print_Titles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'411'!Print_Titles</vt:lpstr>
      <vt:lpstr>'412'!Print_Titles</vt:lpstr>
      <vt:lpstr>'413'!Print_Titles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2021-10-01T20:07:04Z</dcterms:created>
  <dcterms:modified xsi:type="dcterms:W3CDTF">2021-10-01T20:26:21Z</dcterms:modified>
</cp:coreProperties>
</file>